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Z:\Waste Management\Common\PROJECTS\Zone 6 and 7\IWMC Projects\GA\Nilandhoo\2019\zihan\after trip evaluation\"/>
    </mc:Choice>
  </mc:AlternateContent>
  <xr:revisionPtr revIDLastSave="0" documentId="13_ncr:1_{621AF7B5-E322-44BA-B512-1812A81242C6}" xr6:coauthVersionLast="45" xr6:coauthVersionMax="45" xr10:uidLastSave="{00000000-0000-0000-0000-000000000000}"/>
  <bookViews>
    <workbookView xWindow="3330" yWindow="3330" windowWidth="21600" windowHeight="11385" xr2:uid="{00000000-000D-0000-FFFF-FFFF00000000}"/>
  </bookViews>
  <sheets>
    <sheet name="Sheet1" sheetId="1" r:id="rId1"/>
    <sheet name="Sheet2" sheetId="2" r:id="rId2"/>
    <sheet name="Sheet3" sheetId="3" r:id="rId3"/>
    <sheet name="LD" sheetId="4" r:id="rId4"/>
    <sheet name="CW at TR" sheetId="5" r:id="rId5"/>
  </sheets>
  <definedNames>
    <definedName name="_xlnm.Print_Titles" localSheetId="4">'CW at TR'!$17:$17</definedName>
    <definedName name="_xlnm.Print_Titles" localSheetId="3">LD!$17:$17</definedName>
    <definedName name="_xlnm.Print_Titles" localSheetId="0">Sheet1!$17:$17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74" i="5" l="1"/>
  <c r="G179" i="5" s="1"/>
  <c r="G169" i="5" l="1"/>
  <c r="P53" i="5" l="1"/>
  <c r="P69" i="5"/>
  <c r="P95" i="5"/>
  <c r="P97" i="5"/>
  <c r="P101" i="5"/>
  <c r="P102" i="5"/>
  <c r="P104" i="5"/>
  <c r="P105" i="5"/>
  <c r="P106" i="5"/>
  <c r="P108" i="5"/>
  <c r="P125" i="5"/>
  <c r="P126" i="5"/>
  <c r="P127" i="5"/>
  <c r="P128" i="5"/>
  <c r="P129" i="5"/>
  <c r="P130" i="5"/>
  <c r="P131" i="5"/>
  <c r="P132" i="5"/>
  <c r="P134" i="5"/>
  <c r="P135" i="5"/>
  <c r="P136" i="5"/>
  <c r="P139" i="5"/>
  <c r="P140" i="5"/>
  <c r="P141" i="5"/>
  <c r="P142" i="5"/>
  <c r="P146" i="5"/>
  <c r="P147" i="5"/>
  <c r="P148" i="5"/>
  <c r="P150" i="5"/>
  <c r="P154" i="5"/>
  <c r="P161" i="5"/>
  <c r="P162" i="5"/>
  <c r="P165" i="5"/>
  <c r="P166" i="5"/>
  <c r="P167" i="5"/>
  <c r="P20" i="5"/>
  <c r="P23" i="5"/>
  <c r="P19" i="5"/>
  <c r="M115" i="5" l="1"/>
  <c r="S117" i="5"/>
  <c r="Q117" i="5"/>
  <c r="R66" i="5"/>
  <c r="M96" i="5"/>
  <c r="P96" i="5" s="1"/>
  <c r="M94" i="5"/>
  <c r="P94" i="5" s="1"/>
  <c r="M87" i="5"/>
  <c r="M59" i="5"/>
  <c r="P59" i="5" s="1"/>
  <c r="N21" i="5"/>
  <c r="N22" i="5"/>
  <c r="N24" i="5"/>
  <c r="N27" i="5"/>
  <c r="N29" i="5"/>
  <c r="N30" i="5"/>
  <c r="N31" i="5"/>
  <c r="N38" i="5"/>
  <c r="N39" i="5"/>
  <c r="N40" i="5"/>
  <c r="N48" i="5"/>
  <c r="N54" i="5"/>
  <c r="N57" i="5"/>
  <c r="N60" i="5"/>
  <c r="N61" i="5"/>
  <c r="N62" i="5"/>
  <c r="N65" i="5"/>
  <c r="N67" i="5"/>
  <c r="N70" i="5"/>
  <c r="N71" i="5"/>
  <c r="N72" i="5"/>
  <c r="N75" i="5"/>
  <c r="N77" i="5"/>
  <c r="N79" i="5"/>
  <c r="N80" i="5"/>
  <c r="N81" i="5"/>
  <c r="N84" i="5"/>
  <c r="N86" i="5"/>
  <c r="N88" i="5"/>
  <c r="N89" i="5"/>
  <c r="N90" i="5"/>
  <c r="N93" i="5"/>
  <c r="N95" i="5"/>
  <c r="N97" i="5"/>
  <c r="N98" i="5"/>
  <c r="N100" i="5"/>
  <c r="N103" i="5"/>
  <c r="N107" i="5"/>
  <c r="N110" i="5"/>
  <c r="N111" i="5"/>
  <c r="N112" i="5"/>
  <c r="N118" i="5"/>
  <c r="N122" i="5"/>
  <c r="N123" i="5"/>
  <c r="N124" i="5"/>
  <c r="N133" i="5"/>
  <c r="N137" i="5"/>
  <c r="N138" i="5"/>
  <c r="N139" i="5"/>
  <c r="N143" i="5"/>
  <c r="N144" i="5"/>
  <c r="N145" i="5"/>
  <c r="N146" i="5"/>
  <c r="N148" i="5"/>
  <c r="N149" i="5"/>
  <c r="N151" i="5"/>
  <c r="N152" i="5"/>
  <c r="N153" i="5"/>
  <c r="N156" i="5"/>
  <c r="N158" i="5"/>
  <c r="N162" i="5"/>
  <c r="N163" i="5"/>
  <c r="N164" i="5"/>
  <c r="N166" i="5"/>
  <c r="F94" i="5"/>
  <c r="N94" i="5" s="1"/>
  <c r="F95" i="5"/>
  <c r="F96" i="5"/>
  <c r="F97" i="5"/>
  <c r="F101" i="5"/>
  <c r="N101" i="5" s="1"/>
  <c r="F102" i="5"/>
  <c r="N102" i="5" s="1"/>
  <c r="F104" i="5"/>
  <c r="N104" i="5" s="1"/>
  <c r="F105" i="5"/>
  <c r="N105" i="5" s="1"/>
  <c r="F106" i="5"/>
  <c r="N106" i="5" s="1"/>
  <c r="F108" i="5"/>
  <c r="N108" i="5" s="1"/>
  <c r="F125" i="5"/>
  <c r="N125" i="5" s="1"/>
  <c r="F126" i="5"/>
  <c r="N126" i="5" s="1"/>
  <c r="F127" i="5"/>
  <c r="N127" i="5" s="1"/>
  <c r="F128" i="5"/>
  <c r="N128" i="5" s="1"/>
  <c r="F129" i="5"/>
  <c r="N129" i="5" s="1"/>
  <c r="F130" i="5"/>
  <c r="N130" i="5" s="1"/>
  <c r="F131" i="5"/>
  <c r="N131" i="5" s="1"/>
  <c r="F132" i="5"/>
  <c r="N132" i="5" s="1"/>
  <c r="F134" i="5"/>
  <c r="N134" i="5" s="1"/>
  <c r="F135" i="5"/>
  <c r="N135" i="5" s="1"/>
  <c r="F136" i="5"/>
  <c r="N136" i="5" s="1"/>
  <c r="F139" i="5"/>
  <c r="F140" i="5"/>
  <c r="N140" i="5" s="1"/>
  <c r="F141" i="5"/>
  <c r="N141" i="5" s="1"/>
  <c r="F142" i="5"/>
  <c r="N142" i="5" s="1"/>
  <c r="F146" i="5"/>
  <c r="F147" i="5"/>
  <c r="N147" i="5" s="1"/>
  <c r="F148" i="5"/>
  <c r="F150" i="5"/>
  <c r="N150" i="5" s="1"/>
  <c r="F154" i="5"/>
  <c r="N154" i="5" s="1"/>
  <c r="F161" i="5"/>
  <c r="N161" i="5" s="1"/>
  <c r="F162" i="5"/>
  <c r="F165" i="5"/>
  <c r="N165" i="5" s="1"/>
  <c r="F166" i="5"/>
  <c r="F167" i="5"/>
  <c r="N167" i="5" s="1"/>
  <c r="F20" i="5"/>
  <c r="N20" i="5" s="1"/>
  <c r="F23" i="5"/>
  <c r="N23" i="5" s="1"/>
  <c r="F25" i="5"/>
  <c r="F37" i="5"/>
  <c r="F53" i="5"/>
  <c r="N53" i="5" s="1"/>
  <c r="F59" i="5"/>
  <c r="F69" i="5"/>
  <c r="N69" i="5" s="1"/>
  <c r="F87" i="5"/>
  <c r="F19" i="5"/>
  <c r="N19" i="5" s="1"/>
  <c r="M25" i="5"/>
  <c r="P25" i="5" s="1"/>
  <c r="N96" i="5" l="1"/>
  <c r="N59" i="5"/>
  <c r="N25" i="5"/>
  <c r="N87" i="5"/>
  <c r="P87" i="5"/>
  <c r="I20" i="5"/>
  <c r="I37" i="5"/>
  <c r="I53" i="5"/>
  <c r="I57" i="5"/>
  <c r="I93" i="5"/>
  <c r="I94" i="5"/>
  <c r="I95" i="5"/>
  <c r="I97" i="5"/>
  <c r="I106" i="5"/>
  <c r="I108" i="5"/>
  <c r="I127" i="5"/>
  <c r="I131" i="5"/>
  <c r="I135" i="5"/>
  <c r="H27" i="5"/>
  <c r="I27" i="5" s="1"/>
  <c r="H25" i="5"/>
  <c r="I25" i="5" s="1"/>
  <c r="H24" i="5"/>
  <c r="I24" i="5" s="1"/>
  <c r="H23" i="5"/>
  <c r="I23" i="5" s="1"/>
  <c r="H22" i="5"/>
  <c r="I22" i="5" s="1"/>
  <c r="H21" i="5"/>
  <c r="H20" i="5"/>
  <c r="H19" i="5"/>
  <c r="I19" i="5" s="1"/>
  <c r="H29" i="5"/>
  <c r="H30" i="5"/>
  <c r="I30" i="5" s="1"/>
  <c r="H31" i="5"/>
  <c r="I31" i="5" s="1"/>
  <c r="H37" i="5"/>
  <c r="H38" i="5"/>
  <c r="H39" i="5"/>
  <c r="I39" i="5" s="1"/>
  <c r="H40" i="5"/>
  <c r="I40" i="5" s="1"/>
  <c r="H48" i="5"/>
  <c r="I48" i="5" s="1"/>
  <c r="H53" i="5"/>
  <c r="H54" i="5"/>
  <c r="I54" i="5" s="1"/>
  <c r="H57" i="5"/>
  <c r="H59" i="5"/>
  <c r="I59" i="5" s="1"/>
  <c r="H60" i="5"/>
  <c r="H61" i="5"/>
  <c r="I61" i="5" s="1"/>
  <c r="H62" i="5"/>
  <c r="I62" i="5" s="1"/>
  <c r="H65" i="5"/>
  <c r="I65" i="5" s="1"/>
  <c r="H67" i="5"/>
  <c r="I67" i="5" s="1"/>
  <c r="H69" i="5"/>
  <c r="I69" i="5" s="1"/>
  <c r="H70" i="5"/>
  <c r="H71" i="5"/>
  <c r="I71" i="5" s="1"/>
  <c r="H72" i="5"/>
  <c r="I72" i="5" s="1"/>
  <c r="H75" i="5"/>
  <c r="I75" i="5" s="1"/>
  <c r="H77" i="5"/>
  <c r="I77" i="5" s="1"/>
  <c r="H79" i="5"/>
  <c r="H80" i="5"/>
  <c r="I80" i="5" s="1"/>
  <c r="H81" i="5"/>
  <c r="I81" i="5" s="1"/>
  <c r="H84" i="5"/>
  <c r="I84" i="5" s="1"/>
  <c r="H86" i="5"/>
  <c r="I86" i="5" s="1"/>
  <c r="H87" i="5"/>
  <c r="I87" i="5" s="1"/>
  <c r="H88" i="5"/>
  <c r="H89" i="5"/>
  <c r="I89" i="5" s="1"/>
  <c r="H90" i="5"/>
  <c r="I90" i="5" s="1"/>
  <c r="H93" i="5"/>
  <c r="H94" i="5"/>
  <c r="H95" i="5"/>
  <c r="H96" i="5"/>
  <c r="I96" i="5" s="1"/>
  <c r="H97" i="5"/>
  <c r="H98" i="5"/>
  <c r="I98" i="5" s="1"/>
  <c r="H100" i="5"/>
  <c r="I100" i="5" s="1"/>
  <c r="H101" i="5"/>
  <c r="I101" i="5" s="1"/>
  <c r="H102" i="5"/>
  <c r="I102" i="5" s="1"/>
  <c r="H103" i="5"/>
  <c r="I103" i="5" s="1"/>
  <c r="H104" i="5"/>
  <c r="I104" i="5" s="1"/>
  <c r="H105" i="5"/>
  <c r="I105" i="5" s="1"/>
  <c r="H106" i="5"/>
  <c r="H107" i="5"/>
  <c r="I107" i="5" s="1"/>
  <c r="H108" i="5"/>
  <c r="H110" i="5"/>
  <c r="H111" i="5"/>
  <c r="I111" i="5" s="1"/>
  <c r="H112" i="5"/>
  <c r="I112" i="5" s="1"/>
  <c r="H118" i="5"/>
  <c r="I118" i="5" s="1"/>
  <c r="H122" i="5"/>
  <c r="H123" i="5"/>
  <c r="I123" i="5" s="1"/>
  <c r="H124" i="5"/>
  <c r="I124" i="5" s="1"/>
  <c r="H125" i="5"/>
  <c r="I125" i="5" s="1"/>
  <c r="H126" i="5"/>
  <c r="I126" i="5" s="1"/>
  <c r="H127" i="5"/>
  <c r="H128" i="5"/>
  <c r="I128" i="5" s="1"/>
  <c r="H129" i="5"/>
  <c r="I129" i="5" s="1"/>
  <c r="H130" i="5"/>
  <c r="I130" i="5" s="1"/>
  <c r="H131" i="5"/>
  <c r="H132" i="5"/>
  <c r="I132" i="5" s="1"/>
  <c r="H133" i="5"/>
  <c r="I133" i="5" s="1"/>
  <c r="H134" i="5"/>
  <c r="I134" i="5" s="1"/>
  <c r="H135" i="5"/>
  <c r="H136" i="5"/>
  <c r="I136" i="5" s="1"/>
  <c r="H137" i="5"/>
  <c r="H138" i="5"/>
  <c r="I138" i="5" s="1"/>
  <c r="H139" i="5"/>
  <c r="I139" i="5" s="1"/>
  <c r="H140" i="5"/>
  <c r="I140" i="5" s="1"/>
  <c r="H141" i="5"/>
  <c r="I141" i="5" s="1"/>
  <c r="H142" i="5"/>
  <c r="I142" i="5" s="1"/>
  <c r="H143" i="5"/>
  <c r="H144" i="5"/>
  <c r="I144" i="5" s="1"/>
  <c r="H145" i="5"/>
  <c r="I145" i="5" s="1"/>
  <c r="H146" i="5"/>
  <c r="I146" i="5" s="1"/>
  <c r="H147" i="5"/>
  <c r="I147" i="5" s="1"/>
  <c r="H148" i="5"/>
  <c r="I148" i="5" s="1"/>
  <c r="H149" i="5"/>
  <c r="I149" i="5" s="1"/>
  <c r="H150" i="5"/>
  <c r="I150" i="5" s="1"/>
  <c r="H151" i="5"/>
  <c r="H152" i="5"/>
  <c r="I152" i="5" s="1"/>
  <c r="H153" i="5"/>
  <c r="I153" i="5" s="1"/>
  <c r="H154" i="5"/>
  <c r="I154" i="5" s="1"/>
  <c r="H156" i="5"/>
  <c r="I156" i="5" s="1"/>
  <c r="H158" i="5"/>
  <c r="I158" i="5" s="1"/>
  <c r="H161" i="5"/>
  <c r="I161" i="5" s="1"/>
  <c r="H162" i="5"/>
  <c r="I162" i="5" s="1"/>
  <c r="H163" i="5"/>
  <c r="H164" i="5"/>
  <c r="I164" i="5" s="1"/>
  <c r="H165" i="5"/>
  <c r="I165" i="5" s="1"/>
  <c r="H166" i="5"/>
  <c r="I166" i="5" s="1"/>
  <c r="H167" i="5"/>
  <c r="I167" i="5" s="1"/>
  <c r="M37" i="5"/>
  <c r="P37" i="5" l="1"/>
  <c r="N37" i="5"/>
  <c r="E169" i="5"/>
  <c r="L167" i="5"/>
  <c r="L166" i="5"/>
  <c r="L165" i="5"/>
  <c r="L162" i="5"/>
  <c r="L161" i="5"/>
  <c r="D160" i="5"/>
  <c r="D159" i="5"/>
  <c r="L157" i="5"/>
  <c r="L155" i="5"/>
  <c r="D155" i="5"/>
  <c r="L154" i="5"/>
  <c r="L150" i="5"/>
  <c r="L149" i="5"/>
  <c r="L148" i="5"/>
  <c r="L147" i="5"/>
  <c r="L142" i="5"/>
  <c r="L141" i="5"/>
  <c r="L140" i="5"/>
  <c r="L139" i="5"/>
  <c r="L136" i="5"/>
  <c r="L135" i="5"/>
  <c r="L134" i="5"/>
  <c r="L133" i="5"/>
  <c r="L132" i="5"/>
  <c r="L131" i="5"/>
  <c r="L130" i="5"/>
  <c r="L129" i="5"/>
  <c r="L128" i="5"/>
  <c r="L127" i="5"/>
  <c r="L126" i="5"/>
  <c r="L125" i="5"/>
  <c r="D121" i="5"/>
  <c r="D120" i="5"/>
  <c r="D119" i="5"/>
  <c r="D117" i="5"/>
  <c r="M117" i="5" s="1"/>
  <c r="P117" i="5" s="1"/>
  <c r="D116" i="5"/>
  <c r="M116" i="5" s="1"/>
  <c r="P116" i="5" s="1"/>
  <c r="D115" i="5"/>
  <c r="P115" i="5" s="1"/>
  <c r="D114" i="5"/>
  <c r="P114" i="5" s="1"/>
  <c r="D113" i="5"/>
  <c r="M113" i="5" s="1"/>
  <c r="P113" i="5" s="1"/>
  <c r="L109" i="5"/>
  <c r="D109" i="5"/>
  <c r="L108" i="5"/>
  <c r="L107" i="5"/>
  <c r="L106" i="5"/>
  <c r="L105" i="5"/>
  <c r="L104" i="5"/>
  <c r="L103" i="5"/>
  <c r="L102" i="5"/>
  <c r="L101" i="5"/>
  <c r="L100" i="5"/>
  <c r="L99" i="5"/>
  <c r="L98" i="5"/>
  <c r="L97" i="5"/>
  <c r="L95" i="5"/>
  <c r="L94" i="5"/>
  <c r="L93" i="5"/>
  <c r="L92" i="5"/>
  <c r="D92" i="5"/>
  <c r="P92" i="5" s="1"/>
  <c r="L91" i="5"/>
  <c r="D78" i="5"/>
  <c r="D74" i="5"/>
  <c r="L69" i="5"/>
  <c r="L64" i="5"/>
  <c r="D64" i="5"/>
  <c r="D63" i="5"/>
  <c r="P63" i="5" s="1"/>
  <c r="L58" i="5"/>
  <c r="D58" i="5"/>
  <c r="L53" i="5"/>
  <c r="L52" i="5"/>
  <c r="D52" i="5"/>
  <c r="L51" i="5"/>
  <c r="D51" i="5"/>
  <c r="F51" i="5" s="1"/>
  <c r="L50" i="5"/>
  <c r="D50" i="5"/>
  <c r="F50" i="5" s="1"/>
  <c r="L49" i="5"/>
  <c r="D49" i="5"/>
  <c r="P49" i="5" s="1"/>
  <c r="L48" i="5"/>
  <c r="L47" i="5"/>
  <c r="D47" i="5"/>
  <c r="L46" i="5"/>
  <c r="D46" i="5"/>
  <c r="D41" i="5"/>
  <c r="F41" i="5" s="1"/>
  <c r="D36" i="5"/>
  <c r="D35" i="5"/>
  <c r="F35" i="5" s="1"/>
  <c r="D34" i="5"/>
  <c r="D28" i="5"/>
  <c r="L26" i="5"/>
  <c r="D26" i="5"/>
  <c r="C10" i="5"/>
  <c r="D99" i="5" s="1"/>
  <c r="P99" i="5" s="1"/>
  <c r="C9" i="5"/>
  <c r="D83" i="5" s="1"/>
  <c r="M83" i="5" s="1"/>
  <c r="P83" i="5" s="1"/>
  <c r="C6" i="5"/>
  <c r="D91" i="5" s="1"/>
  <c r="P91" i="5" s="1"/>
  <c r="K20" i="4"/>
  <c r="K21" i="4"/>
  <c r="K22" i="4"/>
  <c r="K23" i="4"/>
  <c r="K24" i="4"/>
  <c r="K25"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9" i="4"/>
  <c r="C11" i="5" l="1"/>
  <c r="D33" i="5"/>
  <c r="F33" i="5" s="1"/>
  <c r="D76" i="5"/>
  <c r="M76" i="5" s="1"/>
  <c r="P76" i="5" s="1"/>
  <c r="D55" i="5"/>
  <c r="M55" i="5" s="1"/>
  <c r="P55" i="5" s="1"/>
  <c r="P47" i="5"/>
  <c r="F47" i="5"/>
  <c r="N47" i="5" s="1"/>
  <c r="H47" i="5"/>
  <c r="I47" i="5" s="1"/>
  <c r="M74" i="5"/>
  <c r="F74" i="5"/>
  <c r="H74" i="5"/>
  <c r="I74" i="5" s="1"/>
  <c r="M26" i="5"/>
  <c r="F26" i="5"/>
  <c r="H26" i="5"/>
  <c r="I26" i="5" s="1"/>
  <c r="P58" i="5"/>
  <c r="F58" i="5"/>
  <c r="N58" i="5" s="1"/>
  <c r="H58" i="5"/>
  <c r="I58" i="5" s="1"/>
  <c r="F119" i="5"/>
  <c r="H119" i="5"/>
  <c r="I119" i="5" s="1"/>
  <c r="M119" i="5"/>
  <c r="M28" i="5"/>
  <c r="F28" i="5"/>
  <c r="H28" i="5"/>
  <c r="I28" i="5" s="1"/>
  <c r="F36" i="5"/>
  <c r="H36" i="5"/>
  <c r="I36" i="5" s="1"/>
  <c r="M36" i="5"/>
  <c r="F121" i="5"/>
  <c r="M121" i="5"/>
  <c r="H121" i="5"/>
  <c r="I121" i="5" s="1"/>
  <c r="D157" i="5"/>
  <c r="P157" i="5" s="1"/>
  <c r="P64" i="5"/>
  <c r="F64" i="5"/>
  <c r="N64" i="5" s="1"/>
  <c r="H64" i="5"/>
  <c r="I64" i="5" s="1"/>
  <c r="P34" i="5"/>
  <c r="F34" i="5"/>
  <c r="N34" i="5" s="1"/>
  <c r="H34" i="5"/>
  <c r="I34" i="5" s="1"/>
  <c r="D45" i="5"/>
  <c r="M45" i="5" s="1"/>
  <c r="P155" i="5"/>
  <c r="F155" i="5"/>
  <c r="N155" i="5" s="1"/>
  <c r="H155" i="5"/>
  <c r="I155" i="5" s="1"/>
  <c r="M159" i="5"/>
  <c r="P159" i="5" s="1"/>
  <c r="L168" i="5"/>
  <c r="P46" i="5"/>
  <c r="F46" i="5"/>
  <c r="N46" i="5" s="1"/>
  <c r="H46" i="5"/>
  <c r="I46" i="5" s="1"/>
  <c r="D68" i="5"/>
  <c r="P68" i="5" s="1"/>
  <c r="F78" i="5"/>
  <c r="M78" i="5"/>
  <c r="H78" i="5"/>
  <c r="I78" i="5" s="1"/>
  <c r="P109" i="5"/>
  <c r="F109" i="5"/>
  <c r="N109" i="5" s="1"/>
  <c r="H109" i="5"/>
  <c r="I109" i="5" s="1"/>
  <c r="F120" i="5"/>
  <c r="M120" i="5"/>
  <c r="H120" i="5"/>
  <c r="I120" i="5" s="1"/>
  <c r="M160" i="5"/>
  <c r="F160" i="5"/>
  <c r="H160" i="5"/>
  <c r="I160" i="5" s="1"/>
  <c r="F52" i="5"/>
  <c r="N52" i="5" s="1"/>
  <c r="P52" i="5"/>
  <c r="H83" i="5"/>
  <c r="I83" i="5" s="1"/>
  <c r="F83" i="5"/>
  <c r="N83" i="5" s="1"/>
  <c r="H116" i="5"/>
  <c r="I116" i="5" s="1"/>
  <c r="F116" i="5"/>
  <c r="N116" i="5" s="1"/>
  <c r="H117" i="5"/>
  <c r="I117" i="5" s="1"/>
  <c r="F117" i="5"/>
  <c r="N117" i="5" s="1"/>
  <c r="H63" i="5"/>
  <c r="I63" i="5" s="1"/>
  <c r="F63" i="5"/>
  <c r="N63" i="5" s="1"/>
  <c r="H91" i="5"/>
  <c r="I91" i="5" s="1"/>
  <c r="F91" i="5"/>
  <c r="N91" i="5" s="1"/>
  <c r="H92" i="5"/>
  <c r="I92" i="5" s="1"/>
  <c r="F92" i="5"/>
  <c r="N92" i="5" s="1"/>
  <c r="H115" i="5"/>
  <c r="I115" i="5" s="1"/>
  <c r="F115" i="5"/>
  <c r="N115" i="5" s="1"/>
  <c r="H99" i="5"/>
  <c r="I99" i="5" s="1"/>
  <c r="F99" i="5"/>
  <c r="N99" i="5" s="1"/>
  <c r="H49" i="5"/>
  <c r="I49" i="5" s="1"/>
  <c r="F49" i="5"/>
  <c r="N49" i="5" s="1"/>
  <c r="H157" i="5"/>
  <c r="I157" i="5" s="1"/>
  <c r="H68" i="5"/>
  <c r="I68" i="5" s="1"/>
  <c r="F68" i="5"/>
  <c r="N68" i="5" s="1"/>
  <c r="H55" i="5"/>
  <c r="I55" i="5" s="1"/>
  <c r="F55" i="5"/>
  <c r="N55" i="5" s="1"/>
  <c r="H113" i="5"/>
  <c r="I113" i="5" s="1"/>
  <c r="F113" i="5"/>
  <c r="N113" i="5" s="1"/>
  <c r="H45" i="5"/>
  <c r="I45" i="5" s="1"/>
  <c r="F45" i="5"/>
  <c r="H76" i="5"/>
  <c r="I76" i="5" s="1"/>
  <c r="F76" i="5"/>
  <c r="N76" i="5" s="1"/>
  <c r="H114" i="5"/>
  <c r="I114" i="5" s="1"/>
  <c r="F114" i="5"/>
  <c r="N114" i="5" s="1"/>
  <c r="H159" i="5"/>
  <c r="I159" i="5" s="1"/>
  <c r="F159" i="5"/>
  <c r="N159" i="5" s="1"/>
  <c r="M41" i="5"/>
  <c r="H41" i="5"/>
  <c r="I41" i="5" s="1"/>
  <c r="M50" i="5"/>
  <c r="H50" i="5"/>
  <c r="I50" i="5" s="1"/>
  <c r="M35" i="5"/>
  <c r="H35" i="5"/>
  <c r="I35" i="5" s="1"/>
  <c r="H52" i="5"/>
  <c r="I52" i="5" s="1"/>
  <c r="M51" i="5"/>
  <c r="H51" i="5"/>
  <c r="I51" i="5" s="1"/>
  <c r="D32" i="5"/>
  <c r="D42" i="5"/>
  <c r="D82" i="5"/>
  <c r="M82" i="5" s="1"/>
  <c r="P82" i="5" s="1"/>
  <c r="D56" i="5"/>
  <c r="M56" i="5" s="1"/>
  <c r="P56" i="5" s="1"/>
  <c r="D66" i="5"/>
  <c r="M66" i="5" s="1"/>
  <c r="P66" i="5" s="1"/>
  <c r="D43" i="5"/>
  <c r="C8" i="5"/>
  <c r="D73" i="5"/>
  <c r="M73" i="5" s="1"/>
  <c r="P73" i="5" s="1"/>
  <c r="D44" i="5"/>
  <c r="D85" i="5"/>
  <c r="M85" i="5" s="1"/>
  <c r="P85" i="5" s="1"/>
  <c r="I167" i="4"/>
  <c r="I166" i="4"/>
  <c r="I165" i="4"/>
  <c r="I162" i="4"/>
  <c r="I161" i="4"/>
  <c r="I154" i="4"/>
  <c r="I157" i="4"/>
  <c r="I155" i="4"/>
  <c r="I149" i="4"/>
  <c r="I150" i="4"/>
  <c r="I148" i="4"/>
  <c r="I147" i="4"/>
  <c r="I140" i="4"/>
  <c r="I139" i="4"/>
  <c r="I141" i="4"/>
  <c r="I142" i="4"/>
  <c r="I131" i="4"/>
  <c r="I132" i="4"/>
  <c r="I133" i="4"/>
  <c r="I134" i="4"/>
  <c r="I135" i="4"/>
  <c r="I136" i="4"/>
  <c r="I129" i="4"/>
  <c r="I130" i="4"/>
  <c r="I126" i="4"/>
  <c r="I127" i="4"/>
  <c r="I128" i="4"/>
  <c r="I125" i="4"/>
  <c r="I107" i="4"/>
  <c r="I108" i="4"/>
  <c r="I109" i="4"/>
  <c r="I103" i="4"/>
  <c r="I104" i="4"/>
  <c r="I105" i="4"/>
  <c r="I106" i="4"/>
  <c r="I100" i="4"/>
  <c r="I101" i="4"/>
  <c r="I102" i="4"/>
  <c r="I92" i="4"/>
  <c r="I93" i="4"/>
  <c r="I94" i="4"/>
  <c r="I95" i="4"/>
  <c r="I97" i="4"/>
  <c r="I98" i="4"/>
  <c r="I99" i="4"/>
  <c r="I91" i="4"/>
  <c r="I69" i="4"/>
  <c r="I64" i="4"/>
  <c r="I50" i="4"/>
  <c r="I51" i="4"/>
  <c r="I52" i="4"/>
  <c r="I49" i="4"/>
  <c r="I58" i="4"/>
  <c r="I53" i="4"/>
  <c r="I48" i="4"/>
  <c r="I47" i="4"/>
  <c r="I46" i="4"/>
  <c r="I26" i="4"/>
  <c r="E169" i="4"/>
  <c r="F169" i="4"/>
  <c r="M33" i="5" l="1"/>
  <c r="N33" i="5" s="1"/>
  <c r="H33" i="5"/>
  <c r="I33" i="5" s="1"/>
  <c r="I168" i="4"/>
  <c r="P36" i="5"/>
  <c r="N36" i="5"/>
  <c r="F157" i="5"/>
  <c r="N157" i="5" s="1"/>
  <c r="P160" i="5"/>
  <c r="N160" i="5"/>
  <c r="P78" i="5"/>
  <c r="N78" i="5"/>
  <c r="P28" i="5"/>
  <c r="N28" i="5"/>
  <c r="N74" i="5"/>
  <c r="P74" i="5"/>
  <c r="P121" i="5"/>
  <c r="N121" i="5"/>
  <c r="P119" i="5"/>
  <c r="N119" i="5"/>
  <c r="P26" i="5"/>
  <c r="N26" i="5"/>
  <c r="P120" i="5"/>
  <c r="N120" i="5"/>
  <c r="N50" i="5"/>
  <c r="P50" i="5"/>
  <c r="N51" i="5"/>
  <c r="P51" i="5"/>
  <c r="N45" i="5"/>
  <c r="P45" i="5"/>
  <c r="N41" i="5"/>
  <c r="P41" i="5"/>
  <c r="N35" i="5"/>
  <c r="P35" i="5"/>
  <c r="H85" i="5"/>
  <c r="I85" i="5" s="1"/>
  <c r="F85" i="5"/>
  <c r="N85" i="5" s="1"/>
  <c r="H42" i="5"/>
  <c r="I42" i="5" s="1"/>
  <c r="F42" i="5"/>
  <c r="M42" i="5"/>
  <c r="H44" i="5"/>
  <c r="I44" i="5" s="1"/>
  <c r="F44" i="5"/>
  <c r="M44" i="5"/>
  <c r="P44" i="5" s="1"/>
  <c r="H32" i="5"/>
  <c r="I32" i="5" s="1"/>
  <c r="M32" i="5"/>
  <c r="P32" i="5" s="1"/>
  <c r="F32" i="5"/>
  <c r="H82" i="5"/>
  <c r="I82" i="5" s="1"/>
  <c r="F82" i="5"/>
  <c r="N82" i="5" s="1"/>
  <c r="H73" i="5"/>
  <c r="I73" i="5" s="1"/>
  <c r="F73" i="5"/>
  <c r="N73" i="5" s="1"/>
  <c r="H66" i="5"/>
  <c r="I66" i="5" s="1"/>
  <c r="F66" i="5"/>
  <c r="N66" i="5" s="1"/>
  <c r="H43" i="5"/>
  <c r="I43" i="5" s="1"/>
  <c r="F43" i="5"/>
  <c r="M43" i="5"/>
  <c r="H56" i="5"/>
  <c r="I56" i="5" s="1"/>
  <c r="F56" i="5"/>
  <c r="N56" i="5" s="1"/>
  <c r="E170" i="4"/>
  <c r="E171" i="4" s="1"/>
  <c r="E173" i="4" s="1"/>
  <c r="F170" i="4"/>
  <c r="F171" i="4" s="1"/>
  <c r="D160" i="4"/>
  <c r="D159" i="4"/>
  <c r="D155" i="4"/>
  <c r="D121" i="4"/>
  <c r="D120" i="4"/>
  <c r="D119" i="4"/>
  <c r="D117" i="4"/>
  <c r="D116" i="4"/>
  <c r="D115" i="4"/>
  <c r="D114" i="4"/>
  <c r="D113" i="4"/>
  <c r="D109" i="4"/>
  <c r="D78" i="4"/>
  <c r="D74" i="4"/>
  <c r="D64" i="4"/>
  <c r="D63" i="4"/>
  <c r="D58" i="4"/>
  <c r="D52" i="4"/>
  <c r="D51" i="4"/>
  <c r="D50" i="4"/>
  <c r="D49" i="4"/>
  <c r="D47" i="4"/>
  <c r="D46" i="4"/>
  <c r="D41" i="4"/>
  <c r="D36" i="4"/>
  <c r="D35" i="4"/>
  <c r="D34" i="4"/>
  <c r="D28" i="4"/>
  <c r="D26" i="4"/>
  <c r="J26" i="4" s="1"/>
  <c r="K26" i="4" s="1"/>
  <c r="K168" i="4" s="1"/>
  <c r="C10" i="4"/>
  <c r="D99" i="4" s="1"/>
  <c r="C9" i="4"/>
  <c r="D83" i="4" s="1"/>
  <c r="C6" i="4"/>
  <c r="D44" i="4" s="1"/>
  <c r="P33" i="5" l="1"/>
  <c r="N42" i="5"/>
  <c r="P42" i="5"/>
  <c r="N43" i="5"/>
  <c r="P43" i="5"/>
  <c r="N32" i="5"/>
  <c r="N169" i="5" s="1"/>
  <c r="N44" i="5"/>
  <c r="H168" i="5"/>
  <c r="C11" i="4"/>
  <c r="D33" i="4"/>
  <c r="D45" i="4"/>
  <c r="D56" i="4"/>
  <c r="D76" i="4"/>
  <c r="C8" i="4"/>
  <c r="D42" i="4"/>
  <c r="D68" i="4"/>
  <c r="D91" i="4"/>
  <c r="D66" i="4"/>
  <c r="D85" i="4"/>
  <c r="D43" i="4"/>
  <c r="D73" i="4"/>
  <c r="D82" i="4"/>
  <c r="D92" i="4"/>
  <c r="D157" i="4"/>
  <c r="D32" i="4"/>
  <c r="D55" i="4"/>
  <c r="D103" i="1"/>
  <c r="D65" i="1"/>
  <c r="D41" i="1"/>
  <c r="D33" i="1"/>
  <c r="C10" i="1"/>
  <c r="C11" i="1" s="1"/>
  <c r="C9" i="1"/>
  <c r="C6" i="1"/>
  <c r="N170" i="5" l="1"/>
  <c r="N171" i="5" s="1"/>
  <c r="G176" i="5" s="1"/>
  <c r="G177" i="5" l="1"/>
  <c r="G178" i="5" s="1"/>
  <c r="G182" i="5" s="1"/>
  <c r="P169" i="5"/>
  <c r="D69" i="1"/>
  <c r="D107" i="1" l="1"/>
  <c r="D32" i="1" l="1"/>
  <c r="D55" i="1" l="1"/>
  <c r="D105" i="1"/>
  <c r="D48" i="1"/>
  <c r="D47" i="1"/>
  <c r="C8" i="1"/>
  <c r="D108" i="1"/>
  <c r="D36" i="1"/>
</calcChain>
</file>

<file path=xl/sharedStrings.xml><?xml version="1.0" encoding="utf-8"?>
<sst xmlns="http://schemas.openxmlformats.org/spreadsheetml/2006/main" count="779" uniqueCount="215">
  <si>
    <t>No</t>
  </si>
  <si>
    <t>Item</t>
  </si>
  <si>
    <t>Unit</t>
  </si>
  <si>
    <t>Quantity</t>
  </si>
  <si>
    <t>Rate</t>
  </si>
  <si>
    <t>Amount</t>
  </si>
  <si>
    <t>Earth works</t>
  </si>
  <si>
    <t>LS</t>
  </si>
  <si>
    <t>Allow for all excavation work for foundations as follows</t>
  </si>
  <si>
    <t>m3</t>
  </si>
  <si>
    <t>Flood light pole</t>
  </si>
  <si>
    <t>Ground levelling works for ground slab works</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</si>
  <si>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</si>
  <si>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</si>
  <si>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</si>
  <si>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</si>
  <si>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</si>
  <si>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Setting up a ground water well in the location shown</t>
  </si>
  <si>
    <t>Ground water well casting work</t>
  </si>
  <si>
    <t>Masonary works</t>
  </si>
  <si>
    <t>m</t>
  </si>
  <si>
    <t>Plastering works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</si>
  <si>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</si>
  <si>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</si>
  <si>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</si>
  <si>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</si>
  <si>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</si>
  <si>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</si>
  <si>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</si>
  <si>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</si>
  <si>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</si>
  <si>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</si>
  <si>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</si>
  <si>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Provide connection from pump to ground water well. Rate shall include all necessary pipes, bends, fittings and footvalve and others as maybe required.</t>
  </si>
  <si>
    <t>Provide outlet pipes as shown on drawing. Rate shall include connection to pump, bends, fittings and others as maybe necessary.</t>
  </si>
  <si>
    <t>Provide PVC taps at ends of outlet pipes.</t>
  </si>
  <si>
    <t>Preliminaries</t>
  </si>
  <si>
    <t>Mobilization to site</t>
  </si>
  <si>
    <t>Clean up site upon completion of works</t>
  </si>
  <si>
    <t>Demobilization</t>
  </si>
  <si>
    <t>Bill of Quantities</t>
  </si>
  <si>
    <t>TOTAL</t>
  </si>
  <si>
    <t>Bill No</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</si>
  <si>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</si>
  <si>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</si>
  <si>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</si>
  <si>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</si>
  <si>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</si>
  <si>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</si>
  <si>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</si>
  <si>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</si>
  <si>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</si>
  <si>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</si>
  <si>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3 phase 13 A power sockets in equipment room. Rate shall include connection to circuit breaker and all necessary accessories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</si>
  <si>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</si>
  <si>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</si>
  <si>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</si>
  <si>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</si>
  <si>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</si>
  <si>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</si>
  <si>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</si>
  <si>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</si>
  <si>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</si>
  <si>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</si>
  <si>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</si>
  <si>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</si>
  <si>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Leachate collection tank with primary and secondary tanks as shown on drawing. Rate shall include all formwork, casting and placing of the tank</t>
  </si>
  <si>
    <t>Provide 200 W flood light for illuminating the waste yard. Rate shall include connecting each light to a switch near circuit breaker inside the equipment roomand providing power to the switch</t>
  </si>
  <si>
    <t>Provide lockable metal gates for entrance to waste yard as specified in the drawing. Rate shall include all cuts, welds, applying protective coating to welded joints, painting the frame and properly fixing the door to the fence.</t>
  </si>
  <si>
    <t>Apply emulsion paint coating on the roof trusses</t>
  </si>
  <si>
    <t>Apply emulsion paint coating on the removable timber covers of the leachate collection tanks</t>
  </si>
  <si>
    <t>Metal Doors</t>
  </si>
  <si>
    <t>Provide and mount a Ceiling fan inside the Equipment Room as indicated. Rate shall include provision of switch near the circuit breaker inside the equipment room, connection to circuit breaker and all necessary accessories</t>
  </si>
  <si>
    <t>Provide a 5" vinyl roof gutter with 2" x 3" downspout. Rates shall include all materials and fastenings.</t>
  </si>
  <si>
    <t>Provide expansion joint in slab and fill the joint with polyethylene joint filler form and silicone as shown on drawing</t>
  </si>
  <si>
    <t>Setup sign boards on site as specified</t>
  </si>
  <si>
    <t>Apply emulsion paint coating on G.I members and MS Sheets of gates</t>
  </si>
  <si>
    <t>Provide and mount a exhaust fan inside the Equipment Room and Hazardous Waste Storage Room. Rate shall include provision of switch near the circuit breaker inside the equipment room, connection to circuit breaker and all necessary accessories</t>
  </si>
  <si>
    <t>Provide 100W ceiling mount energy saving light in equipment room, provide the switches near circuit breaker inside the equipment room. Rate shall include connection to circuit breaker</t>
  </si>
  <si>
    <t>Provide  100W ceiling mount energy saving light in hazardous waste storage room, provide the switches near circuit breaker inside the equipment room. Rate shall include connection to circuit breaker</t>
  </si>
  <si>
    <t>Apply paint coating on the two metal folding doors of the equipment room</t>
  </si>
  <si>
    <t>Apply paint coating on the metal sliding door of the Hazardous waste storage room</t>
  </si>
  <si>
    <t>Provide lockable metal sliding gates for entrance to hazardous waste storage room. Rate shall include all cuts, welds, applying protective coating to welded joints, painting the door and proper fixing of the door. Rate shall include fabrication and fixing of guide rails and wheels as well.</t>
  </si>
  <si>
    <t>Provide lockable metal folding gates for entrance to Equipment room. Rate shall include all cuts, welds, applying protective coating to welded joints, painting the door and proper fixing of the door. Rate shall include fabrication and fixing of guide rails and wheels as well.</t>
  </si>
  <si>
    <t>Provide 150mm thick reinforced concrete slab for sorting area platform cast according to drawing. Reinforcements shall be as shown on drawing.</t>
  </si>
  <si>
    <t>Provide 12" x 12" ceramic tiles for the top and the sides of the concrete slab for sorting area platform</t>
  </si>
  <si>
    <t>Provide 100mm concrete floor screed for collection bay area according to the slope shown in drawing with a drain at the Sorting Area. Reinforcement for the slab shall be R6@150 BW single layer</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</si>
  <si>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</si>
  <si>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</si>
  <si>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</si>
  <si>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</si>
  <si>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</si>
  <si>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</si>
  <si>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</si>
  <si>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</si>
  <si>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</si>
  <si>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</si>
  <si>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</si>
  <si>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</si>
  <si>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Total length of Collection Bay Area 3.5m high walls</t>
  </si>
  <si>
    <t>Total length of Collection Bay Area 1.5m high walls</t>
  </si>
  <si>
    <t>Total length of Perimeter Wall</t>
  </si>
  <si>
    <t>Number of G.I Pipe Columns in Collection Bay Area</t>
  </si>
  <si>
    <t>Number of Columns in Perimeter Wall</t>
  </si>
  <si>
    <t>Number of RC Columns in Collection Bay Area</t>
  </si>
  <si>
    <t>Perimeter wall</t>
  </si>
  <si>
    <t>Width of Collection Bay Area</t>
  </si>
  <si>
    <t>Length of Collection Bay Area</t>
  </si>
  <si>
    <t>Length of Compost Slab</t>
  </si>
  <si>
    <t>Width of Compost Slab</t>
  </si>
  <si>
    <t>Length of Concrete Screed</t>
  </si>
  <si>
    <t>Width of Concrete Screed</t>
  </si>
  <si>
    <t>Middle Beams of Collection Bay Area walls cast according to drawing. Reinforcement shall be as shown on drawing.</t>
  </si>
  <si>
    <t>Lintel for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</si>
  <si>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</si>
  <si>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</si>
  <si>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</si>
  <si>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</si>
  <si>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</si>
  <si>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1000mm high wall for perimeter wall</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</si>
  <si>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</si>
  <si>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</si>
  <si>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weather proof switch for all lights</t>
  </si>
  <si>
    <t>Provide 25 sqmm 4 core power supply cable from nearest distribution box to waste yard distribution board</t>
  </si>
  <si>
    <t xml:space="preserve">25mm plastering on 1000mm wall for perimeter wall </t>
  </si>
  <si>
    <t>Apply emulsion paint coating on 1000mm high wall for perimeter fence</t>
  </si>
  <si>
    <t>Provide HDPE membrane below compost slab, Concrete screed and collection bay floor slab</t>
  </si>
  <si>
    <t>Provide two timber removable covers for the leachate collection tank of size 1000x2000mm. Rates shall include all materials, fastenings and handles.</t>
  </si>
  <si>
    <t>Connection of compost slab drain to primary tank of the leachate tank including ball valve</t>
  </si>
  <si>
    <t>Provide 13 A power socket for well water pump inside the Pump House, provide the switch for the pump near circuit breaker inside the equipment room. Rate shall include connection to circuit breaker.</t>
  </si>
  <si>
    <t>Provide well water pump. Rate shall include its fixing inside the Pump House</t>
  </si>
  <si>
    <t>2000mm high walls of thickness 150mm for Pump House (1700mm high wall above ground level with 300mm below ground level)</t>
  </si>
  <si>
    <t>Apply emulsion paint coating on 2000mm high walls of thickness 150mm for Pump House (1700mm high wall above ground level with 300mm below ground level)</t>
  </si>
  <si>
    <t>Lysaght roofing sheet for Pump House. Rate shall include all necessary laps, fastening, fixtures and sealing of joints</t>
  </si>
  <si>
    <t>Pump House Timber rafters - 100 x 50mm. Rate shall include for all fixing and joints</t>
  </si>
  <si>
    <t>Pump House Timber battens - 50 x 38mm. Rate shall include for all fixing and joints.</t>
  </si>
  <si>
    <t>Timber Doors</t>
  </si>
  <si>
    <t>Provide a lockable timber door of dimensions 1000mm x 1000mm with double door frames and fixed timber louvers for the ground water pump room hut. Rates shall include all materials, hinges and fixings.</t>
  </si>
  <si>
    <t>Site Clearance and Demolition/Removal</t>
  </si>
  <si>
    <t>Demolition</t>
  </si>
  <si>
    <t>Removal</t>
  </si>
  <si>
    <t>Concrete column foundation 450x450mm of height 400mm</t>
  </si>
  <si>
    <t>G.I Pipe fence of height 2000mm with 50mm Mesh as shown in the drawing</t>
  </si>
  <si>
    <t>Existing Structure</t>
  </si>
  <si>
    <t>Apply emulsion paint coating on G.I columns of existing structure</t>
  </si>
  <si>
    <t>Apply emulsion paint coating on 2m high walls of the existing structure</t>
  </si>
  <si>
    <t>2000mm high masonry walls</t>
  </si>
  <si>
    <t>Site management cost including set up of temporary services for contractor's services as maybe necessary</t>
  </si>
  <si>
    <t>All site clean up work including relocation of existing waste to a temporary location identified by island council</t>
  </si>
  <si>
    <t>Demobilisation Works</t>
  </si>
  <si>
    <t>Site clearance/Demolition/Removal</t>
  </si>
  <si>
    <t>Demobilisation</t>
  </si>
  <si>
    <t>CONSTRUCTION OF WASTEMANAGEMENT CENTRE - GA. NILANDHOO</t>
  </si>
  <si>
    <t>CONSTRUCTION OF WASTE MANAGEMENT CENTRE - GA. NILANDHOO</t>
  </si>
  <si>
    <t>Actual Price</t>
  </si>
  <si>
    <t>Variation</t>
  </si>
  <si>
    <t>not as per drawing</t>
  </si>
  <si>
    <t>not for equipment room</t>
  </si>
  <si>
    <t>no tap</t>
  </si>
  <si>
    <t>need to be fixed</t>
  </si>
  <si>
    <t>Incomplete Works</t>
  </si>
  <si>
    <t>Qty</t>
  </si>
  <si>
    <t>Completed at termination</t>
  </si>
  <si>
    <t>no lock</t>
  </si>
  <si>
    <t>Rate based on amount</t>
  </si>
  <si>
    <t>** floor of equipment room without any slope at the entrance. Could be difficult to setup the equipments inside the room.</t>
  </si>
  <si>
    <t xml:space="preserve">NO slope, no drain. </t>
  </si>
  <si>
    <t>0% completed</t>
  </si>
  <si>
    <t>Issue with slope of the compost slab. Slope has to be fixed, so that the water will slope straight to the drain.  Currently water flows sideways to the ground.</t>
  </si>
  <si>
    <r>
      <t xml:space="preserve">Issue with slope of the B3 beam. Slope of the drain has to be fixed, so that the water will slope straight to the leachat tank.  </t>
    </r>
    <r>
      <rPr>
        <sz val="11"/>
        <color rgb="FFFF0000"/>
        <rFont val="Calibri"/>
        <family val="2"/>
        <scheme val="minor"/>
      </rPr>
      <t>Slope not connected to leachat tank.</t>
    </r>
  </si>
  <si>
    <t>Top of the leachate tank fully covered with contreate sheet. According to the drawing both tanks should have a removable timber cover.  Both Primary and secondary tanks are in same size.</t>
  </si>
  <si>
    <t>G.I pipes not completed.  Refer "Collection Bay - Floor Plan"</t>
  </si>
  <si>
    <t>No truss in equipment room. Instead of a truss there is a concrete beam. This could make it difficult to setup the equipments inside the room.</t>
  </si>
  <si>
    <t>2m x 3qty of G.I pipe not welded.</t>
  </si>
  <si>
    <t>I think this is repeat of 5.3   :'(</t>
  </si>
  <si>
    <t>painting not completed</t>
  </si>
  <si>
    <t>painting 7/11 not completed</t>
  </si>
  <si>
    <t>painting not completed in the equipment room</t>
  </si>
  <si>
    <t>painting not completed (no door fixed)</t>
  </si>
  <si>
    <t>completed except for the 2m x 3qty of G.I pipe not welded.</t>
  </si>
  <si>
    <t>no gate. No painting</t>
  </si>
  <si>
    <t>No timber cover, no painting</t>
  </si>
  <si>
    <t>No power sockets. Connection cables partly done. Unable to verify electricty work done.</t>
  </si>
  <si>
    <t>no light. Connection cables partly done. Unable to verify electricty work done.</t>
  </si>
  <si>
    <t>no light. No cable.</t>
  </si>
  <si>
    <t>no fan. No wiring.</t>
  </si>
  <si>
    <t>no D.Board.</t>
  </si>
  <si>
    <t xml:space="preserve">connection to circuit breaker to fixed. </t>
  </si>
  <si>
    <t>Switch not fixed</t>
  </si>
  <si>
    <t>no power supply cable.</t>
  </si>
  <si>
    <t>no socket no connection</t>
  </si>
  <si>
    <t>no flood light</t>
  </si>
  <si>
    <t>no well water pump</t>
  </si>
  <si>
    <t>no connection</t>
  </si>
  <si>
    <t xml:space="preserve">Outlet pipe fixed. unable to verify the connection. </t>
  </si>
  <si>
    <t>no hose</t>
  </si>
  <si>
    <t>sliding gates fixed, but not lockable.</t>
  </si>
  <si>
    <t>** Overfloor pipe in leachate tank need to be fixed. Connection is placed lower than the specified location in the drawing.
** Unable to verify the connection from compost slap to primary tank</t>
  </si>
  <si>
    <t>2 beams fixed</t>
  </si>
  <si>
    <t>GST</t>
  </si>
  <si>
    <t>Total Engineer Certified Value</t>
  </si>
  <si>
    <t>Total Contract Value</t>
  </si>
  <si>
    <t>LD 15%</t>
  </si>
  <si>
    <t>Value of works completed - Engineer Approved</t>
  </si>
  <si>
    <t>(-) Retention [5% from value of work completed (Engineer Approved)]</t>
  </si>
  <si>
    <t>Value after Retention</t>
  </si>
  <si>
    <t>(-) Liquidate Damage   [15% of total contract value]</t>
  </si>
  <si>
    <t>Total Payments Issued to the contractor</t>
  </si>
  <si>
    <t>Paybale/(Receivable)</t>
  </si>
  <si>
    <t>Provide 75mm G.I pipe as structural columns for collection bay area. Rate shall include cutting and removal od prtion of wall,demolition of floor slab as required, reinstating the aforementioned and all fixings at both ends of the pipe for necessary connections as shown on drawing</t>
  </si>
  <si>
    <t>Collection bay column foundation</t>
  </si>
  <si>
    <t>demolition of slab a top collection bay area bay 3 walls</t>
  </si>
  <si>
    <t>Leachate collection tank overflow from primary to secondary tank as shown.</t>
  </si>
  <si>
    <t>Dismantling and reinstating of roof as per drawing to replace roof timber structure.</t>
  </si>
  <si>
    <t xml:space="preserve">All site clean up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</si>
</sst>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tint="-9.9978637043366805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auto="1"/>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4">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6" xfId="0" applyBorder="1" applyAlignment="1">
      <alignment horizontal="left" vertical="center"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2" fontId="7" fillId="0" borderId="6" xfId="0" applyNumberFormat="1" applyFont="1"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10" xfId="0" applyNumberFormat="1" applyBorder="1" applyAlignment="1">
      <alignment horizontal="center" vertical="center" wrapTex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43" fontId="0" fillId="0" borderId="11" xfId="1" applyFont="1" applyBorder="1" applyAlignment="1">
      <alignment horizontal="center" vertical="center" wrapText="1"/>
    </xf>
    <xf numFmtId="2" fontId="7" fillId="0" borderId="6" xfId="0" applyNumberFormat="1" applyFont="1" applyBorder="1" applyAlignment="1">
      <alignment horizontal="center" vertical="center"/>
    </xf>
    <xf numFmtId="2" fontId="6" fillId="0" borderId="6" xfId="0" applyNumberFormat="1" applyFont="1" applyBorder="1" applyAlignment="1">
      <alignment horizontal="center" vertical="center"/>
    </xf>
    <xf numFmtId="2" fontId="6"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164" fontId="0" fillId="0" borderId="6" xfId="0" applyNumberForma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left" vertical="center"/>
    </xf>
    <xf numFmtId="1" fontId="9" fillId="0" borderId="0" xfId="0" applyNumberFormat="1" applyFont="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7"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2" fontId="6" fillId="0" borderId="6" xfId="0" applyNumberFormat="1" applyFont="1" applyFill="1" applyBorder="1" applyAlignment="1">
      <alignment horizontal="center" vertical="center"/>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1" fontId="6"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Border="1" applyAlignment="1">
      <alignment horizontal="center" vertical="center" wrapText="1"/>
    </xf>
    <xf numFmtId="43" fontId="0" fillId="0" borderId="0" xfId="1" applyFont="1" applyBorder="1" applyAlignment="1">
      <alignment horizontal="center" vertical="center" wrapText="1"/>
    </xf>
    <xf numFmtId="0" fontId="2" fillId="0" borderId="4" xfId="0" applyFont="1" applyBorder="1" applyAlignment="1">
      <alignment horizontal="left" vertical="center"/>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xf>
    <xf numFmtId="43" fontId="0" fillId="0" borderId="4" xfId="0" applyNumberFormat="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xf>
    <xf numFmtId="0" fontId="0" fillId="0" borderId="4" xfId="0" applyBorder="1" applyAlignment="1">
      <alignment horizontal="center" vertical="center"/>
    </xf>
    <xf numFmtId="0" fontId="0" fillId="0" borderId="4" xfId="0" applyBorder="1"/>
    <xf numFmtId="43" fontId="2" fillId="0" borderId="0" xfId="1" applyFont="1" applyAlignment="1">
      <alignment horizontal="center" vertical="center" wrapText="1"/>
    </xf>
    <xf numFmtId="43" fontId="2" fillId="0" borderId="0" xfId="1" applyFont="1" applyBorder="1" applyAlignment="1">
      <alignment horizontal="left" vertical="center" wrapText="1"/>
    </xf>
    <xf numFmtId="43" fontId="2" fillId="0" borderId="4" xfId="1" applyFont="1" applyBorder="1" applyAlignment="1">
      <alignment horizontal="center" vertical="center" wrapText="1"/>
    </xf>
    <xf numFmtId="43" fontId="2" fillId="0" borderId="5" xfId="1" applyFont="1" applyBorder="1" applyAlignment="1">
      <alignment horizontal="center"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43" fontId="0" fillId="0" borderId="0" xfId="1" applyFont="1" applyAlignment="1">
      <alignment horizontal="left" vertical="center" wrapText="1"/>
    </xf>
    <xf numFmtId="43" fontId="0" fillId="0" borderId="0" xfId="1" applyFont="1" applyAlignment="1">
      <alignment horizontal="left" vertical="center"/>
    </xf>
    <xf numFmtId="43" fontId="2" fillId="0" borderId="6" xfId="1" applyFont="1" applyFill="1" applyBorder="1" applyAlignment="1">
      <alignment horizontal="center" vertical="center" wrapText="1"/>
    </xf>
    <xf numFmtId="0" fontId="0" fillId="0" borderId="0" xfId="0" applyFont="1" applyBorder="1" applyAlignment="1">
      <alignment horizontal="left" vertical="center" wrapText="1" indent="1"/>
    </xf>
    <xf numFmtId="43" fontId="2" fillId="0" borderId="0" xfId="1" applyFont="1" applyBorder="1" applyAlignment="1">
      <alignment horizontal="center" vertical="center" wrapText="1"/>
    </xf>
    <xf numFmtId="43" fontId="2" fillId="0" borderId="11" xfId="0" applyNumberFormat="1" applyFont="1" applyBorder="1" applyAlignment="1">
      <alignment horizontal="center" vertical="center" wrapText="1"/>
    </xf>
    <xf numFmtId="43" fontId="0" fillId="0" borderId="0" xfId="0" applyNumberFormat="1" applyAlignment="1">
      <alignment horizontal="left" vertical="center" wrapText="1"/>
    </xf>
    <xf numFmtId="0" fontId="0" fillId="3" borderId="6" xfId="0" applyFill="1" applyBorder="1" applyAlignment="1">
      <alignment horizontal="left" vertical="center" wrapText="1" indent="1"/>
    </xf>
    <xf numFmtId="0" fontId="0" fillId="3" borderId="6" xfId="0" applyFill="1" applyBorder="1" applyAlignment="1">
      <alignment horizontal="center" vertical="center" wrapText="1"/>
    </xf>
    <xf numFmtId="43" fontId="0" fillId="3" borderId="6" xfId="1"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4" borderId="6" xfId="0" applyFill="1" applyBorder="1" applyAlignment="1">
      <alignment horizontal="left" vertical="center" wrapText="1" indent="1"/>
    </xf>
    <xf numFmtId="0" fontId="0" fillId="4" borderId="6" xfId="0" applyFill="1" applyBorder="1" applyAlignment="1">
      <alignment horizontal="center" vertical="center" wrapText="1"/>
    </xf>
    <xf numFmtId="2" fontId="6" fillId="4" borderId="6" xfId="0" applyNumberFormat="1" applyFont="1" applyFill="1" applyBorder="1" applyAlignment="1">
      <alignment horizontal="center" vertical="center"/>
    </xf>
    <xf numFmtId="43" fontId="0" fillId="4" borderId="6" xfId="1" applyFont="1" applyFill="1" applyBorder="1" applyAlignment="1">
      <alignment horizontal="center" vertical="center" wrapText="1"/>
    </xf>
    <xf numFmtId="2" fontId="6" fillId="3" borderId="6" xfId="0" applyNumberFormat="1" applyFont="1" applyFill="1" applyBorder="1" applyAlignment="1">
      <alignment horizontal="center" vertical="center"/>
    </xf>
    <xf numFmtId="2" fontId="0" fillId="4" borderId="6" xfId="0" applyNumberFormat="1" applyFill="1" applyBorder="1" applyAlignment="1">
      <alignment horizontal="center" vertical="center" wrapText="1"/>
    </xf>
    <xf numFmtId="0" fontId="6" fillId="3" borderId="10"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0" fillId="3" borderId="6" xfId="0" applyFont="1" applyFill="1" applyBorder="1" applyAlignment="1">
      <alignment horizontal="left" vertical="center" wrapText="1" indent="1"/>
    </xf>
    <xf numFmtId="0" fontId="0" fillId="3" borderId="9" xfId="0" applyFill="1" applyBorder="1" applyAlignment="1">
      <alignment horizontal="left" vertical="center" wrapText="1" indent="1"/>
    </xf>
    <xf numFmtId="2" fontId="0" fillId="3" borderId="6" xfId="0" applyNumberFormat="1" applyFill="1" applyBorder="1" applyAlignment="1">
      <alignment horizontal="center" vertical="center" wrapText="1"/>
    </xf>
    <xf numFmtId="1" fontId="0" fillId="4" borderId="6" xfId="0" applyNumberFormat="1" applyFill="1" applyBorder="1" applyAlignment="1">
      <alignment horizontal="center" vertical="center" wrapText="1"/>
    </xf>
    <xf numFmtId="1" fontId="6" fillId="4" borderId="6" xfId="0" applyNumberFormat="1" applyFont="1" applyFill="1" applyBorder="1" applyAlignment="1">
      <alignment horizontal="center" vertical="center" wrapText="1"/>
    </xf>
    <xf numFmtId="164" fontId="0" fillId="3" borderId="6" xfId="0" applyNumberFormat="1" applyFill="1" applyBorder="1" applyAlignment="1">
      <alignment horizontal="center" vertical="center" wrapText="1"/>
    </xf>
    <xf numFmtId="0" fontId="3" fillId="3" borderId="6" xfId="0" applyFont="1" applyFill="1" applyBorder="1" applyAlignment="1">
      <alignment vertical="center" wrapText="1"/>
    </xf>
    <xf numFmtId="0" fontId="0" fillId="4" borderId="10" xfId="0" applyFill="1" applyBorder="1" applyAlignment="1">
      <alignment horizontal="center" vertical="center" wrapText="1"/>
    </xf>
    <xf numFmtId="0" fontId="0" fillId="4" borderId="10" xfId="0" applyFill="1" applyBorder="1" applyAlignment="1">
      <alignment horizontal="left" vertical="center" wrapText="1" indent="1"/>
    </xf>
    <xf numFmtId="2" fontId="6" fillId="4" borderId="6" xfId="0" applyNumberFormat="1" applyFont="1" applyFill="1" applyBorder="1" applyAlignment="1">
      <alignment horizontal="center" vertical="center" wrapText="1"/>
    </xf>
    <xf numFmtId="43" fontId="0" fillId="4" borderId="10" xfId="1" applyFont="1" applyFill="1" applyBorder="1" applyAlignment="1">
      <alignment horizontal="center" vertical="center" wrapText="1"/>
    </xf>
    <xf numFmtId="0" fontId="0" fillId="3" borderId="10" xfId="0" applyFill="1" applyBorder="1" applyAlignment="1">
      <alignment horizontal="center" vertical="center" wrapText="1"/>
    </xf>
    <xf numFmtId="2" fontId="7" fillId="3" borderId="6" xfId="0" applyNumberFormat="1" applyFont="1" applyFill="1" applyBorder="1" applyAlignment="1">
      <alignment horizontal="center" vertical="center" wrapText="1"/>
    </xf>
    <xf numFmtId="0" fontId="0"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0" fillId="3" borderId="10" xfId="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7" fillId="4" borderId="6" xfId="0" applyNumberFormat="1" applyFont="1" applyFill="1" applyBorder="1" applyAlignment="1">
      <alignment horizontal="center" vertical="center" wrapText="1"/>
    </xf>
    <xf numFmtId="0" fontId="0" fillId="4" borderId="6" xfId="0" applyFont="1" applyFill="1" applyBorder="1" applyAlignment="1">
      <alignment horizontal="center" vertical="center" wrapText="1"/>
    </xf>
    <xf numFmtId="43" fontId="2" fillId="0" borderId="0" xfId="1" applyFont="1" applyBorder="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wrapText="1"/>
    </xf>
    <xf numFmtId="0" fontId="2" fillId="0" borderId="13" xfId="0" applyFont="1" applyBorder="1" applyAlignment="1">
      <alignment horizontal="left" vertical="center"/>
    </xf>
    <xf numFmtId="0" fontId="0" fillId="0" borderId="13" xfId="0" applyBorder="1" applyAlignment="1">
      <alignment horizontal="left" vertical="center"/>
    </xf>
    <xf numFmtId="43" fontId="0" fillId="0" borderId="13" xfId="0" applyNumberFormat="1" applyBorder="1" applyAlignment="1">
      <alignment horizontal="left" vertical="center"/>
    </xf>
    <xf numFmtId="0" fontId="0" fillId="0" borderId="13" xfId="0" applyFill="1" applyBorder="1" applyAlignment="1">
      <alignment horizontal="left" vertical="center"/>
    </xf>
    <xf numFmtId="0" fontId="0" fillId="0" borderId="13" xfId="0" applyBorder="1"/>
    <xf numFmtId="43" fontId="0" fillId="0" borderId="13" xfId="0" applyNumberFormat="1" applyBorder="1"/>
    <xf numFmtId="43" fontId="2" fillId="0" borderId="13" xfId="0" applyNumberFormat="1" applyFont="1" applyBorder="1" applyAlignment="1">
      <alignment horizontal="left" vertical="center"/>
    </xf>
    <xf numFmtId="0" fontId="2" fillId="0" borderId="12" xfId="0" applyFont="1" applyBorder="1" applyAlignment="1">
      <alignment horizontal="left" vertical="center"/>
    </xf>
    <xf numFmtId="43" fontId="1" fillId="0" borderId="12" xfId="1" applyFont="1" applyBorder="1" applyAlignment="1">
      <alignment horizontal="left" vertical="center"/>
    </xf>
    <xf numFmtId="43" fontId="1" fillId="0" borderId="12" xfId="1" applyFont="1" applyFill="1" applyBorder="1" applyAlignment="1">
      <alignment horizontal="left" vertical="center"/>
    </xf>
    <xf numFmtId="43" fontId="1" fillId="0" borderId="12" xfId="1" applyFont="1" applyBorder="1"/>
    <xf numFmtId="0" fontId="2"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Alignment="1">
      <alignment horizontal="center" vertical="center" wrapText="1"/>
    </xf>
    <xf numFmtId="43" fontId="2" fillId="0" borderId="0" xfId="1" applyFont="1" applyFill="1" applyAlignment="1">
      <alignment horizontal="center" vertical="center" wrapText="1"/>
    </xf>
    <xf numFmtId="1" fontId="9" fillId="0" borderId="0" xfId="0" applyNumberFormat="1" applyFont="1" applyFill="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horizontal="center" vertical="center" wrapText="1"/>
    </xf>
    <xf numFmtId="2" fontId="9"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3" fontId="2" fillId="0" borderId="0" xfId="1" applyFont="1" applyFill="1" applyBorder="1" applyAlignment="1">
      <alignment horizontal="left" vertical="center" wrapText="1"/>
    </xf>
    <xf numFmtId="1" fontId="9"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43" fontId="2" fillId="0" borderId="4" xfId="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43" fontId="2" fillId="0" borderId="5" xfId="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indent="1"/>
    </xf>
    <xf numFmtId="43" fontId="0" fillId="0" borderId="6" xfId="1" applyFont="1" applyFill="1" applyBorder="1" applyAlignment="1">
      <alignment horizontal="center" vertical="center" wrapText="1"/>
    </xf>
    <xf numFmtId="0" fontId="3" fillId="0" borderId="6" xfId="0" applyFont="1" applyFill="1" applyBorder="1" applyAlignment="1">
      <alignment vertical="center"/>
    </xf>
    <xf numFmtId="0" fontId="0" fillId="0" borderId="6" xfId="0" applyFill="1" applyBorder="1" applyAlignment="1">
      <alignment vertical="center" wrapText="1"/>
    </xf>
    <xf numFmtId="2" fontId="7" fillId="0" borderId="6" xfId="0" applyNumberFormat="1" applyFont="1" applyFill="1" applyBorder="1" applyAlignment="1">
      <alignment horizontal="center" vertical="center" wrapText="1"/>
    </xf>
    <xf numFmtId="0" fontId="0" fillId="0" borderId="6" xfId="0" applyFill="1" applyBorder="1" applyAlignment="1">
      <alignment horizontal="left" vertical="center" indent="1"/>
    </xf>
    <xf numFmtId="0" fontId="7" fillId="0" borderId="6" xfId="0"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0" fontId="0" fillId="0" borderId="9" xfId="0" applyFill="1" applyBorder="1" applyAlignment="1">
      <alignment horizontal="left" vertical="center" wrapText="1" indent="1"/>
    </xf>
    <xf numFmtId="0" fontId="0" fillId="0" borderId="9" xfId="0" applyFill="1" applyBorder="1" applyAlignment="1">
      <alignment horizontal="center" vertical="center" wrapText="1"/>
    </xf>
    <xf numFmtId="43" fontId="0" fillId="0" borderId="9" xfId="1" applyFont="1" applyFill="1" applyBorder="1" applyAlignment="1">
      <alignment horizontal="center" vertical="center" wrapText="1"/>
    </xf>
    <xf numFmtId="0" fontId="2" fillId="0" borderId="6" xfId="0" applyFont="1" applyFill="1" applyBorder="1" applyAlignment="1">
      <alignment horizontal="center" vertical="center"/>
    </xf>
    <xf numFmtId="43" fontId="0" fillId="0" borderId="6" xfId="1" applyFont="1" applyFill="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indent="1"/>
    </xf>
    <xf numFmtId="1" fontId="0" fillId="0" borderId="6" xfId="0" applyNumberFormat="1" applyFill="1" applyBorder="1" applyAlignment="1">
      <alignment horizontal="center" vertical="center" wrapText="1"/>
    </xf>
    <xf numFmtId="0" fontId="6" fillId="0" borderId="10" xfId="0" applyFont="1" applyFill="1" applyBorder="1" applyAlignment="1">
      <alignment horizontal="left" vertical="center" wrapText="1" indent="1"/>
    </xf>
    <xf numFmtId="0" fontId="0" fillId="0" borderId="10" xfId="0" applyFill="1" applyBorder="1" applyAlignment="1">
      <alignment horizontal="center" vertical="center" wrapText="1"/>
    </xf>
    <xf numFmtId="43" fontId="0" fillId="0" borderId="10" xfId="1" applyFont="1" applyFill="1" applyBorder="1" applyAlignment="1">
      <alignment horizontal="center" vertical="center" wrapText="1"/>
    </xf>
    <xf numFmtId="1" fontId="0" fillId="0" borderId="10"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1" fontId="6" fillId="0" borderId="6"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10" xfId="0" applyFill="1" applyBorder="1" applyAlignment="1">
      <alignment horizontal="left" vertical="center" wrapText="1" indent="1"/>
    </xf>
    <xf numFmtId="0" fontId="0" fillId="3" borderId="9" xfId="0" applyFill="1" applyBorder="1" applyAlignment="1">
      <alignment horizontal="center" vertical="center" wrapText="1"/>
    </xf>
    <xf numFmtId="1" fontId="0" fillId="3" borderId="10" xfId="0" applyNumberFormat="1" applyFill="1" applyBorder="1" applyAlignment="1">
      <alignment horizontal="center" vertical="center" wrapText="1"/>
    </xf>
    <xf numFmtId="0" fontId="2" fillId="0" borderId="0" xfId="0" applyFont="1" applyAlignment="1">
      <alignment horizontal="center" vertical="center" wrapText="1"/>
    </xf>
    <xf numFmtId="43" fontId="1" fillId="5" borderId="12" xfId="1" applyFont="1" applyFill="1" applyBorder="1" applyAlignment="1">
      <alignment horizontal="left" vertical="center"/>
    </xf>
    <xf numFmtId="2" fontId="6" fillId="6" borderId="6" xfId="0" applyNumberFormat="1" applyFont="1" applyFill="1" applyBorder="1" applyAlignment="1">
      <alignment horizontal="center" vertical="center" wrapText="1"/>
    </xf>
    <xf numFmtId="0" fontId="0" fillId="6" borderId="4" xfId="0" applyFill="1" applyBorder="1" applyAlignment="1">
      <alignment horizontal="center" vertical="center" wrapText="1"/>
    </xf>
    <xf numFmtId="43" fontId="1" fillId="3" borderId="12" xfId="1" applyFont="1" applyFill="1" applyBorder="1" applyAlignment="1">
      <alignment horizontal="left" vertical="center"/>
    </xf>
    <xf numFmtId="1" fontId="0" fillId="3" borderId="6" xfId="0" applyNumberFormat="1" applyFill="1" applyBorder="1" applyAlignment="1">
      <alignment horizontal="center" vertical="center" wrapText="1"/>
    </xf>
    <xf numFmtId="2" fontId="6" fillId="7" borderId="6" xfId="0" applyNumberFormat="1" applyFont="1" applyFill="1" applyBorder="1" applyAlignment="1">
      <alignment horizontal="center" vertical="center"/>
    </xf>
    <xf numFmtId="0" fontId="0" fillId="7" borderId="6" xfId="0" applyFont="1" applyFill="1" applyBorder="1" applyAlignment="1">
      <alignment horizontal="center" vertical="center" wrapText="1"/>
    </xf>
    <xf numFmtId="0" fontId="0" fillId="7" borderId="6" xfId="0" applyFill="1" applyBorder="1" applyAlignment="1">
      <alignment horizontal="center" vertical="center" wrapText="1"/>
    </xf>
    <xf numFmtId="2" fontId="0" fillId="7" borderId="6" xfId="0" applyNumberFormat="1" applyFill="1" applyBorder="1" applyAlignment="1">
      <alignment horizontal="center" vertical="center" wrapText="1"/>
    </xf>
    <xf numFmtId="43" fontId="0" fillId="0" borderId="5" xfId="1" applyFont="1" applyFill="1" applyBorder="1" applyAlignment="1">
      <alignment horizontal="center" vertical="center" wrapText="1"/>
    </xf>
    <xf numFmtId="2" fontId="6" fillId="8" borderId="6" xfId="0" applyNumberFormat="1" applyFont="1" applyFill="1" applyBorder="1" applyAlignment="1">
      <alignment horizontal="center" vertical="center"/>
    </xf>
    <xf numFmtId="43" fontId="1" fillId="5" borderId="12" xfId="1" applyFont="1" applyFill="1" applyBorder="1" applyAlignment="1">
      <alignment horizontal="left"/>
    </xf>
    <xf numFmtId="43" fontId="0" fillId="0" borderId="0" xfId="1" applyFont="1" applyBorder="1" applyAlignment="1">
      <alignment horizontal="left" vertical="center"/>
    </xf>
    <xf numFmtId="43" fontId="2" fillId="5" borderId="12" xfId="1" applyFont="1" applyFill="1" applyBorder="1" applyAlignment="1">
      <alignment horizontal="left" vertical="center"/>
    </xf>
    <xf numFmtId="43" fontId="1" fillId="7" borderId="12" xfId="1" applyFont="1" applyFill="1" applyBorder="1" applyAlignment="1">
      <alignment horizontal="left" vertical="center"/>
    </xf>
    <xf numFmtId="43" fontId="6" fillId="7" borderId="6" xfId="1" applyFont="1" applyFill="1" applyBorder="1" applyAlignment="1">
      <alignment horizontal="left" vertical="center"/>
    </xf>
    <xf numFmtId="0" fontId="7" fillId="0" borderId="4" xfId="0" applyFont="1" applyBorder="1" applyAlignment="1">
      <alignment horizontal="center" vertical="center" wrapText="1"/>
    </xf>
    <xf numFmtId="0" fontId="0" fillId="0" borderId="4" xfId="0" applyBorder="1" applyAlignment="1">
      <alignment horizontal="left" vertical="center" wrapText="1"/>
    </xf>
    <xf numFmtId="43" fontId="1" fillId="7" borderId="12" xfId="1" applyFont="1" applyFill="1" applyBorder="1" applyAlignment="1">
      <alignment horizontal="left"/>
    </xf>
    <xf numFmtId="9" fontId="2" fillId="0" borderId="0" xfId="2" applyFont="1" applyAlignment="1">
      <alignment horizontal="left" vertical="center"/>
    </xf>
    <xf numFmtId="43" fontId="0" fillId="0" borderId="0" xfId="0" applyNumberFormat="1" applyAlignment="1">
      <alignment horizontal="left" vertical="center"/>
    </xf>
    <xf numFmtId="9" fontId="0" fillId="0" borderId="0" xfId="2" applyFont="1" applyAlignment="1">
      <alignment horizontal="left" vertical="center"/>
    </xf>
    <xf numFmtId="4" fontId="0" fillId="0" borderId="0" xfId="0" applyNumberFormat="1" applyAlignment="1">
      <alignment horizontal="left" vertical="center"/>
    </xf>
    <xf numFmtId="0" fontId="0" fillId="0" borderId="14" xfId="0"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43" fontId="2" fillId="0" borderId="15" xfId="1"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43" fontId="0" fillId="0" borderId="18" xfId="0" applyNumberFormat="1" applyBorder="1" applyAlignment="1">
      <alignment horizontal="left" vertical="center" wrapText="1"/>
    </xf>
    <xf numFmtId="0" fontId="2" fillId="0" borderId="19"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3" fontId="2" fillId="0" borderId="20" xfId="1"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43" fontId="0" fillId="0" borderId="0" xfId="0" applyNumberFormat="1"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43" fontId="2" fillId="0" borderId="2" xfId="0" applyNumberFormat="1" applyFont="1" applyBorder="1" applyAlignment="1">
      <alignment horizontal="left" vertical="center"/>
    </xf>
    <xf numFmtId="0" fontId="0" fillId="0" borderId="0" xfId="0" applyFill="1" applyBorder="1" applyAlignment="1">
      <alignment horizontal="left" vertical="center"/>
    </xf>
    <xf numFmtId="0" fontId="2" fillId="0" borderId="0" xfId="0" applyFont="1" applyFill="1" applyAlignment="1">
      <alignment horizontal="left" vertical="center"/>
    </xf>
    <xf numFmtId="43" fontId="0" fillId="0" borderId="6" xfId="0" applyNumberFormat="1" applyFill="1" applyBorder="1" applyAlignment="1">
      <alignment horizontal="center" vertical="center" wrapText="1"/>
    </xf>
    <xf numFmtId="43" fontId="0" fillId="0" borderId="9" xfId="0" applyNumberFormat="1" applyFill="1" applyBorder="1" applyAlignment="1">
      <alignment horizontal="center" vertical="center" wrapText="1"/>
    </xf>
    <xf numFmtId="0" fontId="0" fillId="0" borderId="0" xfId="0" applyFill="1"/>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Border="1" applyAlignment="1">
      <alignment horizontal="center" vertical="center" wrapText="1"/>
    </xf>
    <xf numFmtId="0" fontId="2" fillId="0" borderId="11" xfId="0" applyFont="1" applyFill="1" applyBorder="1" applyAlignment="1">
      <alignment horizontal="center" vertical="center" wrapText="1"/>
    </xf>
    <xf numFmtId="43" fontId="0" fillId="0" borderId="11" xfId="1"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xf numFmtId="0" fontId="2" fillId="0" borderId="12" xfId="0" applyFont="1" applyBorder="1" applyAlignment="1">
      <alignment horizontal="center" vertical="center"/>
    </xf>
    <xf numFmtId="0" fontId="6" fillId="0" borderId="6" xfId="0" applyFont="1" applyFill="1" applyBorder="1" applyAlignment="1">
      <alignment horizontal="center" vertical="center" wrapText="1"/>
    </xf>
  </cellXfs>
  <cellStyles count="3">
    <cellStyle name="Comma" xfId="1" builtinId="3"/>
    <cellStyle name="Normal" xfId="0" builtinId="0"/>
    <cellStyle name="Percent" xfId="2" builtinId="5"/>
  </cellStyles>
  <dxfs count="4">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tabSelected="1" view="pageLayout" topLeftCell="A28" zoomScaleNormal="115" zoomScaleSheetLayoutView="115" workbookViewId="0">
      <selection activeCell="E83" sqref="E83"/>
    </sheetView>
  </sheetViews>
  <sheetFormatPr defaultColWidth="9.140625" defaultRowHeight="15" x14ac:dyDescent="0.25"/>
  <cols>
    <col min="1" max="1" width="9.140625" style="266"/>
    <col min="2" max="2" width="49.7109375" style="267" bestFit="1" customWidth="1"/>
    <col min="3" max="3" width="9.140625" style="266" customWidth="1"/>
    <col min="4" max="4" width="9.140625" style="266"/>
    <col min="5" max="5" width="9.140625" style="81"/>
    <col min="6" max="6" width="15" style="81" customWidth="1"/>
    <col min="7" max="16384" width="9.140625" style="81"/>
  </cols>
  <sheetData>
    <row r="1" spans="1:10" x14ac:dyDescent="0.25">
      <c r="A1" s="268" t="s">
        <v>153</v>
      </c>
      <c r="B1" s="268"/>
      <c r="C1" s="268"/>
      <c r="D1" s="268"/>
      <c r="E1" s="268"/>
      <c r="F1" s="268"/>
    </row>
    <row r="2" spans="1:10" x14ac:dyDescent="0.25">
      <c r="A2" s="268" t="s">
        <v>40</v>
      </c>
      <c r="B2" s="268"/>
      <c r="C2" s="268"/>
      <c r="D2" s="268"/>
      <c r="E2" s="268"/>
      <c r="F2" s="268"/>
    </row>
    <row r="3" spans="1:10" x14ac:dyDescent="0.25">
      <c r="A3" s="166"/>
      <c r="B3" s="172"/>
      <c r="C3" s="166"/>
      <c r="D3" s="166"/>
      <c r="E3" s="166"/>
      <c r="F3" s="166"/>
    </row>
    <row r="4" spans="1:10" hidden="1" x14ac:dyDescent="0.25">
      <c r="A4" s="166"/>
      <c r="B4" s="167" t="s">
        <v>107</v>
      </c>
      <c r="C4" s="168">
        <v>23.2</v>
      </c>
      <c r="D4" s="166"/>
      <c r="E4" s="166"/>
      <c r="F4" s="166"/>
    </row>
    <row r="5" spans="1:10" hidden="1" x14ac:dyDescent="0.25">
      <c r="A5" s="166"/>
      <c r="B5" s="167" t="s">
        <v>106</v>
      </c>
      <c r="C5" s="168">
        <v>4.3</v>
      </c>
      <c r="D5" s="166"/>
      <c r="E5" s="166"/>
      <c r="F5" s="166"/>
    </row>
    <row r="6" spans="1:10" hidden="1" x14ac:dyDescent="0.25">
      <c r="A6" s="166"/>
      <c r="B6" s="167" t="s">
        <v>99</v>
      </c>
      <c r="C6" s="168">
        <f>23.2+4.3+4.3+4.3+4.3+1.5</f>
        <v>41.9</v>
      </c>
      <c r="D6" s="166"/>
      <c r="E6" s="166"/>
      <c r="F6" s="166"/>
    </row>
    <row r="7" spans="1:10" hidden="1" x14ac:dyDescent="0.25">
      <c r="A7" s="166"/>
      <c r="B7" s="167" t="s">
        <v>102</v>
      </c>
      <c r="C7" s="168">
        <v>10</v>
      </c>
      <c r="D7" s="166"/>
      <c r="E7" s="166"/>
      <c r="F7" s="166"/>
    </row>
    <row r="8" spans="1:10" hidden="1" x14ac:dyDescent="0.25">
      <c r="A8" s="166"/>
      <c r="B8" s="167" t="s">
        <v>104</v>
      </c>
      <c r="C8" s="170">
        <f>C6/3</f>
        <v>13.966666666666667</v>
      </c>
      <c r="D8" s="166"/>
      <c r="E8" s="166"/>
      <c r="F8" s="166"/>
    </row>
    <row r="9" spans="1:10" hidden="1" x14ac:dyDescent="0.25">
      <c r="A9" s="166"/>
      <c r="B9" s="171" t="s">
        <v>100</v>
      </c>
      <c r="C9" s="168">
        <f>4*4</f>
        <v>16</v>
      </c>
      <c r="D9" s="166"/>
      <c r="E9" s="166"/>
      <c r="F9" s="166"/>
    </row>
    <row r="10" spans="1:10" hidden="1" x14ac:dyDescent="0.25">
      <c r="A10" s="172"/>
      <c r="B10" s="171" t="s">
        <v>101</v>
      </c>
      <c r="C10" s="173">
        <f>(2*(24+31))-3-4.3-23.2</f>
        <v>79.5</v>
      </c>
      <c r="D10" s="172"/>
      <c r="E10" s="174"/>
      <c r="F10" s="174"/>
      <c r="G10" s="255"/>
      <c r="H10" s="255"/>
      <c r="I10" s="255"/>
      <c r="J10" s="255"/>
    </row>
    <row r="11" spans="1:10" hidden="1" x14ac:dyDescent="0.25">
      <c r="A11" s="172"/>
      <c r="B11" s="171" t="s">
        <v>103</v>
      </c>
      <c r="C11" s="176">
        <f>C10/2</f>
        <v>39.75</v>
      </c>
      <c r="D11" s="172"/>
      <c r="E11" s="174"/>
      <c r="F11" s="174"/>
      <c r="G11" s="255"/>
      <c r="H11" s="255"/>
      <c r="I11" s="255"/>
      <c r="J11" s="255"/>
    </row>
    <row r="12" spans="1:10" hidden="1" x14ac:dyDescent="0.25">
      <c r="A12" s="172"/>
      <c r="B12" s="167" t="s">
        <v>108</v>
      </c>
      <c r="C12" s="176">
        <v>15</v>
      </c>
      <c r="D12" s="172"/>
      <c r="E12" s="174"/>
      <c r="F12" s="174"/>
      <c r="G12" s="255"/>
      <c r="H12" s="255"/>
      <c r="I12" s="255"/>
      <c r="J12" s="255"/>
    </row>
    <row r="13" spans="1:10" hidden="1" x14ac:dyDescent="0.25">
      <c r="A13" s="172"/>
      <c r="B13" s="167" t="s">
        <v>109</v>
      </c>
      <c r="C13" s="176">
        <v>8</v>
      </c>
      <c r="D13" s="172"/>
      <c r="E13" s="174"/>
      <c r="F13" s="174"/>
      <c r="G13" s="255"/>
      <c r="H13" s="255"/>
      <c r="I13" s="255"/>
      <c r="J13" s="255"/>
    </row>
    <row r="14" spans="1:10" hidden="1" x14ac:dyDescent="0.25">
      <c r="A14" s="172"/>
      <c r="B14" s="167" t="s">
        <v>110</v>
      </c>
      <c r="C14" s="176">
        <v>0</v>
      </c>
      <c r="D14" s="172"/>
      <c r="E14" s="174"/>
      <c r="F14" s="174"/>
      <c r="G14" s="255"/>
      <c r="H14" s="255"/>
      <c r="I14" s="255"/>
      <c r="J14" s="255"/>
    </row>
    <row r="15" spans="1:10" hidden="1" x14ac:dyDescent="0.25">
      <c r="A15" s="172"/>
      <c r="B15" s="167" t="s">
        <v>111</v>
      </c>
      <c r="C15" s="176">
        <v>0</v>
      </c>
      <c r="D15" s="172"/>
      <c r="E15" s="174"/>
      <c r="F15" s="174"/>
      <c r="G15" s="255"/>
      <c r="H15" s="255"/>
      <c r="I15" s="255"/>
      <c r="J15" s="255"/>
    </row>
    <row r="16" spans="1:10" x14ac:dyDescent="0.25">
      <c r="A16" s="166"/>
      <c r="B16" s="172"/>
      <c r="C16" s="166"/>
      <c r="D16" s="166"/>
      <c r="E16" s="166"/>
      <c r="F16" s="166"/>
    </row>
    <row r="17" spans="1:6" s="256" customFormat="1" x14ac:dyDescent="0.25">
      <c r="A17" s="177" t="s">
        <v>0</v>
      </c>
      <c r="B17" s="178" t="s">
        <v>1</v>
      </c>
      <c r="C17" s="177" t="s">
        <v>2</v>
      </c>
      <c r="D17" s="177" t="s">
        <v>3</v>
      </c>
      <c r="E17" s="177" t="s">
        <v>4</v>
      </c>
      <c r="F17" s="177" t="s">
        <v>5</v>
      </c>
    </row>
    <row r="18" spans="1:6" s="256" customFormat="1" x14ac:dyDescent="0.25">
      <c r="A18" s="180">
        <v>1</v>
      </c>
      <c r="B18" s="181" t="s">
        <v>36</v>
      </c>
      <c r="C18" s="180"/>
      <c r="D18" s="180"/>
      <c r="E18" s="180"/>
      <c r="F18" s="180"/>
    </row>
    <row r="19" spans="1:6" s="256" customFormat="1" x14ac:dyDescent="0.25">
      <c r="A19" s="183">
        <v>1.1000000000000001</v>
      </c>
      <c r="B19" s="184" t="s">
        <v>37</v>
      </c>
      <c r="C19" s="183" t="s">
        <v>7</v>
      </c>
      <c r="D19" s="183">
        <v>1</v>
      </c>
      <c r="E19" s="183"/>
      <c r="F19" s="183"/>
    </row>
    <row r="20" spans="1:6" s="256" customFormat="1" ht="45" x14ac:dyDescent="0.25">
      <c r="A20" s="183">
        <v>1.2</v>
      </c>
      <c r="B20" s="184" t="s">
        <v>147</v>
      </c>
      <c r="C20" s="183" t="s">
        <v>7</v>
      </c>
      <c r="D20" s="183">
        <v>1</v>
      </c>
      <c r="E20" s="183"/>
      <c r="F20" s="183"/>
    </row>
    <row r="21" spans="1:6" s="256" customFormat="1" x14ac:dyDescent="0.25">
      <c r="A21" s="83"/>
      <c r="B21" s="86"/>
      <c r="C21" s="83"/>
      <c r="D21" s="83"/>
      <c r="E21" s="83"/>
      <c r="F21" s="83"/>
    </row>
    <row r="22" spans="1:6" x14ac:dyDescent="0.25">
      <c r="A22" s="83">
        <v>2</v>
      </c>
      <c r="B22" s="86" t="s">
        <v>138</v>
      </c>
      <c r="C22" s="30"/>
      <c r="D22" s="30"/>
      <c r="E22" s="30"/>
      <c r="F22" s="30"/>
    </row>
    <row r="23" spans="1:6" x14ac:dyDescent="0.25">
      <c r="A23" s="183">
        <v>2.1</v>
      </c>
      <c r="B23" s="46" t="s">
        <v>214</v>
      </c>
      <c r="C23" s="30" t="s">
        <v>7</v>
      </c>
      <c r="D23" s="30">
        <v>1</v>
      </c>
      <c r="E23" s="30"/>
      <c r="F23" s="30"/>
    </row>
    <row r="24" spans="1:6" x14ac:dyDescent="0.25">
      <c r="A24" s="183"/>
      <c r="B24" s="186" t="s">
        <v>139</v>
      </c>
      <c r="C24" s="30"/>
      <c r="D24" s="30"/>
      <c r="E24" s="30"/>
      <c r="F24" s="30"/>
    </row>
    <row r="25" spans="1:6" ht="30" x14ac:dyDescent="0.25">
      <c r="A25" s="30">
        <v>2.2000000000000002</v>
      </c>
      <c r="B25" s="187" t="s">
        <v>211</v>
      </c>
      <c r="C25" s="30" t="s">
        <v>7</v>
      </c>
      <c r="D25" s="30">
        <v>1</v>
      </c>
      <c r="E25" s="30"/>
      <c r="F25" s="30"/>
    </row>
    <row r="26" spans="1:6" x14ac:dyDescent="0.25">
      <c r="A26" s="83">
        <v>3</v>
      </c>
      <c r="B26" s="86" t="s">
        <v>6</v>
      </c>
      <c r="C26" s="30"/>
      <c r="D26" s="30"/>
      <c r="E26" s="30"/>
      <c r="F26" s="30"/>
    </row>
    <row r="27" spans="1:6" x14ac:dyDescent="0.25">
      <c r="A27" s="183"/>
      <c r="B27" s="186" t="s">
        <v>8</v>
      </c>
      <c r="C27" s="30"/>
      <c r="D27" s="30"/>
      <c r="E27" s="30"/>
      <c r="F27" s="30"/>
    </row>
    <row r="28" spans="1:6" x14ac:dyDescent="0.25">
      <c r="A28" s="183">
        <v>3.1</v>
      </c>
      <c r="B28" s="46" t="s">
        <v>210</v>
      </c>
      <c r="C28" s="30" t="s">
        <v>9</v>
      </c>
      <c r="D28" s="85">
        <v>0.16500000000000001</v>
      </c>
      <c r="E28" s="30"/>
      <c r="F28" s="30"/>
    </row>
    <row r="29" spans="1:6" x14ac:dyDescent="0.25">
      <c r="A29" s="30"/>
      <c r="B29" s="187"/>
      <c r="C29" s="30"/>
      <c r="D29" s="30"/>
      <c r="E29" s="30"/>
      <c r="F29" s="30"/>
    </row>
    <row r="30" spans="1:6" x14ac:dyDescent="0.25">
      <c r="A30" s="83">
        <v>4</v>
      </c>
      <c r="B30" s="86" t="s">
        <v>13</v>
      </c>
      <c r="C30" s="30"/>
      <c r="D30" s="30"/>
      <c r="E30" s="30"/>
      <c r="F30" s="30"/>
    </row>
    <row r="31" spans="1:6" x14ac:dyDescent="0.25">
      <c r="A31" s="83"/>
      <c r="B31" s="186" t="s">
        <v>89</v>
      </c>
      <c r="C31" s="30"/>
      <c r="D31" s="30"/>
      <c r="E31" s="30"/>
      <c r="F31" s="30"/>
    </row>
    <row r="32" spans="1:6" ht="30" x14ac:dyDescent="0.25">
      <c r="A32" s="183">
        <v>4.0999999999999996</v>
      </c>
      <c r="B32" s="46" t="s">
        <v>115</v>
      </c>
      <c r="C32" s="30" t="s">
        <v>9</v>
      </c>
      <c r="D32" s="30">
        <f>2*0.3*1.2*0.85</f>
        <v>0.61199999999999999</v>
      </c>
      <c r="E32" s="30"/>
      <c r="F32" s="257"/>
    </row>
    <row r="33" spans="1:6" ht="45" x14ac:dyDescent="0.25">
      <c r="A33" s="183">
        <v>4.2</v>
      </c>
      <c r="B33" s="46" t="s">
        <v>84</v>
      </c>
      <c r="C33" s="30" t="s">
        <v>9</v>
      </c>
      <c r="D33" s="273">
        <f>0.15*1.2*4</f>
        <v>0.72</v>
      </c>
      <c r="E33" s="30"/>
      <c r="F33" s="257"/>
    </row>
    <row r="34" spans="1:6" x14ac:dyDescent="0.25">
      <c r="A34" s="183"/>
      <c r="B34" s="186" t="s">
        <v>88</v>
      </c>
      <c r="C34" s="30"/>
      <c r="D34" s="90"/>
      <c r="E34" s="30"/>
      <c r="F34" s="257"/>
    </row>
    <row r="35" spans="1:6" x14ac:dyDescent="0.25">
      <c r="A35" s="183"/>
      <c r="B35" s="186" t="s">
        <v>93</v>
      </c>
      <c r="C35" s="193"/>
      <c r="D35" s="90"/>
      <c r="E35" s="193"/>
      <c r="F35" s="258"/>
    </row>
    <row r="36" spans="1:6" x14ac:dyDescent="0.25">
      <c r="A36" s="183">
        <v>4.3</v>
      </c>
      <c r="B36" s="46" t="s">
        <v>57</v>
      </c>
      <c r="C36" s="30" t="s">
        <v>9</v>
      </c>
      <c r="D36" s="85">
        <f>0.9*0.4*0.4*2</f>
        <v>0.28800000000000003</v>
      </c>
      <c r="E36" s="30"/>
      <c r="F36" s="257"/>
    </row>
    <row r="37" spans="1:6" x14ac:dyDescent="0.25">
      <c r="A37" s="30"/>
      <c r="B37" s="187"/>
      <c r="C37" s="30"/>
      <c r="D37" s="30"/>
      <c r="E37" s="30"/>
      <c r="F37" s="30"/>
    </row>
    <row r="38" spans="1:6" x14ac:dyDescent="0.25">
      <c r="A38" s="83">
        <v>5</v>
      </c>
      <c r="B38" s="86" t="s">
        <v>48</v>
      </c>
      <c r="C38" s="30"/>
      <c r="D38" s="30"/>
      <c r="E38" s="30"/>
      <c r="F38" s="30"/>
    </row>
    <row r="39" spans="1:6" x14ac:dyDescent="0.25">
      <c r="A39" s="83"/>
      <c r="B39" s="186" t="s">
        <v>89</v>
      </c>
      <c r="C39" s="30"/>
      <c r="D39" s="30"/>
      <c r="E39" s="30"/>
      <c r="F39" s="30"/>
    </row>
    <row r="40" spans="1:6" ht="90" x14ac:dyDescent="0.25">
      <c r="A40" s="30">
        <v>5.0999999999999996</v>
      </c>
      <c r="B40" s="46" t="s">
        <v>209</v>
      </c>
      <c r="C40" s="30" t="s">
        <v>27</v>
      </c>
      <c r="D40" s="84">
        <v>4</v>
      </c>
      <c r="E40" s="30"/>
      <c r="F40" s="30"/>
    </row>
    <row r="41" spans="1:6" ht="45" x14ac:dyDescent="0.25">
      <c r="A41" s="30">
        <v>5.2</v>
      </c>
      <c r="B41" s="46" t="s">
        <v>87</v>
      </c>
      <c r="C41" s="30" t="s">
        <v>20</v>
      </c>
      <c r="D41" s="80">
        <f>2*4.075</f>
        <v>8.15</v>
      </c>
      <c r="E41" s="30"/>
      <c r="F41" s="30"/>
    </row>
    <row r="42" spans="1:6" x14ac:dyDescent="0.25">
      <c r="A42" s="83"/>
      <c r="B42" s="186" t="s">
        <v>90</v>
      </c>
      <c r="C42" s="30"/>
      <c r="D42" s="30"/>
      <c r="E42" s="30"/>
      <c r="F42" s="30"/>
    </row>
    <row r="43" spans="1:6" ht="45" x14ac:dyDescent="0.25">
      <c r="A43" s="30">
        <v>5.3</v>
      </c>
      <c r="B43" s="46" t="s">
        <v>51</v>
      </c>
      <c r="C43" s="30" t="s">
        <v>27</v>
      </c>
      <c r="D43" s="30">
        <v>2</v>
      </c>
      <c r="E43" s="30"/>
      <c r="F43" s="30"/>
    </row>
    <row r="44" spans="1:6" x14ac:dyDescent="0.25">
      <c r="A44" s="30"/>
      <c r="B44" s="46"/>
      <c r="C44" s="30"/>
      <c r="D44" s="80"/>
      <c r="E44" s="30"/>
      <c r="F44" s="30"/>
    </row>
    <row r="45" spans="1:6" x14ac:dyDescent="0.25">
      <c r="A45" s="83">
        <v>6</v>
      </c>
      <c r="B45" s="86" t="s">
        <v>22</v>
      </c>
      <c r="C45" s="30"/>
      <c r="D45" s="30"/>
      <c r="E45" s="30"/>
      <c r="F45" s="30"/>
    </row>
    <row r="46" spans="1:6" s="259" customFormat="1" x14ac:dyDescent="0.25">
      <c r="A46" s="87"/>
      <c r="B46" s="88" t="s">
        <v>94</v>
      </c>
      <c r="C46" s="87"/>
      <c r="D46" s="87"/>
      <c r="E46" s="87"/>
      <c r="F46" s="87"/>
    </row>
    <row r="47" spans="1:6" s="259" customFormat="1" ht="30" x14ac:dyDescent="0.25">
      <c r="A47" s="87">
        <v>6.1</v>
      </c>
      <c r="B47" s="46" t="s">
        <v>65</v>
      </c>
      <c r="C47" s="87" t="s">
        <v>12</v>
      </c>
      <c r="D47" s="84">
        <f>(C6*3.7*2)+(C6*0.15)+(5*0.15*3.7)</f>
        <v>319.12</v>
      </c>
      <c r="E47" s="87"/>
      <c r="F47" s="87"/>
    </row>
    <row r="48" spans="1:6" s="259" customFormat="1" ht="30" x14ac:dyDescent="0.25">
      <c r="A48" s="87">
        <v>6.2</v>
      </c>
      <c r="B48" s="46" t="s">
        <v>62</v>
      </c>
      <c r="C48" s="87" t="s">
        <v>12</v>
      </c>
      <c r="D48" s="84">
        <f>(C9*1.5*2)+(C9*0.15)+(4*0.15*1.5)</f>
        <v>51.3</v>
      </c>
      <c r="E48" s="87"/>
      <c r="F48" s="87"/>
    </row>
    <row r="49" spans="1:6" s="259" customFormat="1" x14ac:dyDescent="0.25">
      <c r="A49" s="87"/>
      <c r="B49" s="88" t="s">
        <v>95</v>
      </c>
      <c r="C49" s="87"/>
      <c r="D49" s="87"/>
      <c r="E49" s="87"/>
      <c r="F49" s="87"/>
    </row>
    <row r="50" spans="1:6" ht="30" x14ac:dyDescent="0.25">
      <c r="A50" s="30">
        <v>6.3</v>
      </c>
      <c r="B50" s="198" t="s">
        <v>23</v>
      </c>
      <c r="C50" s="30" t="s">
        <v>7</v>
      </c>
      <c r="D50" s="199">
        <v>1</v>
      </c>
      <c r="E50" s="30"/>
      <c r="F50" s="30"/>
    </row>
    <row r="51" spans="1:6" x14ac:dyDescent="0.25">
      <c r="A51" s="30">
        <v>6.4</v>
      </c>
      <c r="B51" s="200" t="s">
        <v>69</v>
      </c>
      <c r="C51" s="30" t="s">
        <v>7</v>
      </c>
      <c r="D51" s="199">
        <v>1</v>
      </c>
      <c r="E51" s="201"/>
      <c r="F51" s="201"/>
    </row>
    <row r="52" spans="1:6" ht="30" x14ac:dyDescent="0.25">
      <c r="A52" s="30">
        <v>6.5</v>
      </c>
      <c r="B52" s="200" t="s">
        <v>81</v>
      </c>
      <c r="C52" s="201" t="s">
        <v>7</v>
      </c>
      <c r="D52" s="203">
        <v>1</v>
      </c>
      <c r="E52" s="201"/>
      <c r="F52" s="201"/>
    </row>
    <row r="53" spans="1:6" ht="30" x14ac:dyDescent="0.25">
      <c r="A53" s="30">
        <v>6.6</v>
      </c>
      <c r="B53" s="200" t="s">
        <v>80</v>
      </c>
      <c r="C53" s="201" t="s">
        <v>7</v>
      </c>
      <c r="D53" s="203">
        <v>2</v>
      </c>
      <c r="E53" s="201"/>
      <c r="F53" s="201"/>
    </row>
    <row r="54" spans="1:6" s="259" customFormat="1" x14ac:dyDescent="0.25">
      <c r="A54" s="87"/>
      <c r="B54" s="88" t="s">
        <v>90</v>
      </c>
      <c r="C54" s="87"/>
      <c r="D54" s="197"/>
      <c r="E54" s="87"/>
      <c r="F54" s="87"/>
    </row>
    <row r="55" spans="1:6" s="259" customFormat="1" ht="30" x14ac:dyDescent="0.25">
      <c r="A55" s="87">
        <v>6.7</v>
      </c>
      <c r="B55" s="46" t="s">
        <v>125</v>
      </c>
      <c r="C55" s="87" t="s">
        <v>12</v>
      </c>
      <c r="D55" s="84">
        <f>(C10*1*2)+(C10*0.15)+(6*1*0.15)</f>
        <v>171.82500000000002</v>
      </c>
      <c r="E55" s="87"/>
      <c r="F55" s="87"/>
    </row>
    <row r="56" spans="1:6" x14ac:dyDescent="0.25">
      <c r="A56" s="30"/>
      <c r="B56" s="88" t="s">
        <v>96</v>
      </c>
      <c r="C56" s="30"/>
      <c r="D56" s="30"/>
      <c r="E56" s="30"/>
      <c r="F56" s="30"/>
    </row>
    <row r="57" spans="1:6" ht="30" x14ac:dyDescent="0.25">
      <c r="A57" s="204">
        <v>6.7</v>
      </c>
      <c r="B57" s="198" t="s">
        <v>24</v>
      </c>
      <c r="C57" s="30" t="s">
        <v>7</v>
      </c>
      <c r="D57" s="199">
        <v>1</v>
      </c>
      <c r="E57" s="30"/>
      <c r="F57" s="30"/>
    </row>
    <row r="58" spans="1:6" ht="30" x14ac:dyDescent="0.25">
      <c r="A58" s="204">
        <v>6.9</v>
      </c>
      <c r="B58" s="200" t="s">
        <v>76</v>
      </c>
      <c r="C58" s="201" t="s">
        <v>7</v>
      </c>
      <c r="D58" s="203">
        <v>1</v>
      </c>
      <c r="E58" s="201"/>
      <c r="F58" s="201"/>
    </row>
    <row r="59" spans="1:6" s="259" customFormat="1" x14ac:dyDescent="0.25">
      <c r="A59" s="87"/>
      <c r="B59" s="88" t="s">
        <v>93</v>
      </c>
      <c r="C59" s="87"/>
      <c r="D59" s="197"/>
      <c r="E59" s="87"/>
      <c r="F59" s="87"/>
    </row>
    <row r="60" spans="1:6" x14ac:dyDescent="0.25">
      <c r="A60" s="80">
        <v>6.1</v>
      </c>
      <c r="B60" s="200" t="s">
        <v>58</v>
      </c>
      <c r="C60" s="201" t="s">
        <v>7</v>
      </c>
      <c r="D60" s="203">
        <v>2</v>
      </c>
      <c r="E60" s="201"/>
      <c r="F60" s="201"/>
    </row>
    <row r="61" spans="1:6" ht="30" x14ac:dyDescent="0.25">
      <c r="A61" s="80">
        <v>6.11</v>
      </c>
      <c r="B61" s="200" t="s">
        <v>70</v>
      </c>
      <c r="C61" s="30" t="s">
        <v>7</v>
      </c>
      <c r="D61" s="199">
        <v>2</v>
      </c>
      <c r="E61" s="201"/>
      <c r="F61" s="201"/>
    </row>
    <row r="62" spans="1:6" s="259" customFormat="1" ht="60" x14ac:dyDescent="0.25">
      <c r="A62" s="80">
        <v>6.12</v>
      </c>
      <c r="B62" s="46" t="s">
        <v>132</v>
      </c>
      <c r="C62" s="87" t="s">
        <v>12</v>
      </c>
      <c r="D62" s="85">
        <v>12.58</v>
      </c>
      <c r="E62" s="87"/>
      <c r="F62" s="87"/>
    </row>
    <row r="63" spans="1:6" s="259" customFormat="1" x14ac:dyDescent="0.25">
      <c r="A63" s="80"/>
      <c r="B63" s="88" t="s">
        <v>143</v>
      </c>
      <c r="C63" s="87"/>
      <c r="D63" s="85"/>
      <c r="E63" s="87"/>
      <c r="F63" s="87"/>
    </row>
    <row r="64" spans="1:6" s="259" customFormat="1" ht="30" x14ac:dyDescent="0.25">
      <c r="A64" s="80">
        <v>6.13</v>
      </c>
      <c r="B64" s="46" t="s">
        <v>144</v>
      </c>
      <c r="C64" s="87" t="s">
        <v>7</v>
      </c>
      <c r="D64" s="89">
        <v>1</v>
      </c>
      <c r="E64" s="87"/>
      <c r="F64" s="87"/>
    </row>
    <row r="65" spans="1:6" s="259" customFormat="1" ht="30" x14ac:dyDescent="0.25">
      <c r="A65" s="80">
        <v>6.14</v>
      </c>
      <c r="B65" s="46" t="s">
        <v>145</v>
      </c>
      <c r="C65" s="87" t="s">
        <v>12</v>
      </c>
      <c r="D65" s="85">
        <f>(6.6*2)+(2.5*8)+(1.5*(6.6+2.5+2.5+2.5+2.5))</f>
        <v>58.100000000000009</v>
      </c>
      <c r="E65" s="87"/>
      <c r="F65" s="87"/>
    </row>
    <row r="66" spans="1:6" x14ac:dyDescent="0.25">
      <c r="A66" s="83"/>
      <c r="B66" s="86"/>
      <c r="C66" s="83"/>
      <c r="D66" s="83"/>
      <c r="E66" s="83"/>
      <c r="F66" s="83"/>
    </row>
    <row r="67" spans="1:6" x14ac:dyDescent="0.25">
      <c r="A67" s="205">
        <v>7</v>
      </c>
      <c r="B67" s="206" t="s">
        <v>25</v>
      </c>
      <c r="C67" s="193"/>
      <c r="D67" s="193"/>
      <c r="E67" s="193"/>
      <c r="F67" s="193"/>
    </row>
    <row r="68" spans="1:6" x14ac:dyDescent="0.25">
      <c r="A68" s="205"/>
      <c r="B68" s="88" t="s">
        <v>89</v>
      </c>
      <c r="C68" s="193"/>
      <c r="D68" s="193"/>
      <c r="E68" s="193"/>
      <c r="F68" s="193"/>
    </row>
    <row r="69" spans="1:6" ht="30" x14ac:dyDescent="0.25">
      <c r="A69" s="30">
        <v>7.1</v>
      </c>
      <c r="B69" s="46" t="s">
        <v>213</v>
      </c>
      <c r="C69" s="30" t="s">
        <v>12</v>
      </c>
      <c r="D69" s="84">
        <f>C4*4.8</f>
        <v>111.36</v>
      </c>
      <c r="E69" s="30"/>
      <c r="F69" s="30"/>
    </row>
    <row r="70" spans="1:6" x14ac:dyDescent="0.25">
      <c r="A70" s="30"/>
      <c r="B70" s="187"/>
      <c r="C70" s="30"/>
      <c r="D70" s="30"/>
      <c r="E70" s="30"/>
      <c r="F70" s="30"/>
    </row>
    <row r="71" spans="1:6" x14ac:dyDescent="0.25">
      <c r="A71" s="83">
        <v>8</v>
      </c>
      <c r="B71" s="86" t="s">
        <v>49</v>
      </c>
      <c r="C71" s="30"/>
      <c r="D71" s="30"/>
      <c r="E71" s="30"/>
      <c r="F71" s="30"/>
    </row>
    <row r="72" spans="1:6" x14ac:dyDescent="0.25">
      <c r="A72" s="83"/>
      <c r="B72" s="88" t="s">
        <v>89</v>
      </c>
      <c r="C72" s="30"/>
      <c r="D72" s="30"/>
      <c r="E72" s="30"/>
      <c r="F72" s="30"/>
    </row>
    <row r="73" spans="1:6" ht="48.75" customHeight="1" x14ac:dyDescent="0.25">
      <c r="A73" s="30">
        <v>8.1</v>
      </c>
      <c r="B73" s="46" t="s">
        <v>53</v>
      </c>
      <c r="C73" s="30" t="s">
        <v>27</v>
      </c>
      <c r="D73" s="30">
        <v>4</v>
      </c>
      <c r="E73" s="30"/>
      <c r="F73" s="30"/>
    </row>
    <row r="74" spans="1:6" ht="60" x14ac:dyDescent="0.25">
      <c r="A74" s="30">
        <v>8.1999999999999993</v>
      </c>
      <c r="B74" s="46" t="s">
        <v>78</v>
      </c>
      <c r="C74" s="30" t="s">
        <v>27</v>
      </c>
      <c r="D74" s="30">
        <v>1</v>
      </c>
      <c r="E74" s="30"/>
      <c r="F74" s="30"/>
    </row>
    <row r="75" spans="1:6" ht="75" x14ac:dyDescent="0.25">
      <c r="A75" s="30">
        <v>8.3000000000000007</v>
      </c>
      <c r="B75" s="46" t="s">
        <v>79</v>
      </c>
      <c r="C75" s="30" t="s">
        <v>27</v>
      </c>
      <c r="D75" s="30">
        <v>1</v>
      </c>
      <c r="E75" s="30"/>
      <c r="F75" s="30"/>
    </row>
    <row r="76" spans="1:6" ht="75" x14ac:dyDescent="0.25">
      <c r="A76" s="30">
        <v>8.4</v>
      </c>
      <c r="B76" s="184" t="s">
        <v>72</v>
      </c>
      <c r="C76" s="193" t="s">
        <v>27</v>
      </c>
      <c r="D76" s="193">
        <v>1</v>
      </c>
      <c r="E76" s="30"/>
      <c r="F76" s="30"/>
    </row>
    <row r="77" spans="1:6" ht="75" x14ac:dyDescent="0.25">
      <c r="A77" s="30">
        <v>8.5</v>
      </c>
      <c r="B77" s="184" t="s">
        <v>121</v>
      </c>
      <c r="C77" s="30" t="s">
        <v>7</v>
      </c>
      <c r="D77" s="30">
        <v>1</v>
      </c>
      <c r="E77" s="30"/>
      <c r="F77" s="30"/>
    </row>
    <row r="78" spans="1:6" ht="90" x14ac:dyDescent="0.25">
      <c r="A78" s="30">
        <v>8.6</v>
      </c>
      <c r="B78" s="184" t="s">
        <v>77</v>
      </c>
      <c r="C78" s="30" t="s">
        <v>7</v>
      </c>
      <c r="D78" s="30">
        <v>2</v>
      </c>
      <c r="E78" s="30"/>
      <c r="F78" s="30"/>
    </row>
    <row r="79" spans="1:6" x14ac:dyDescent="0.25">
      <c r="A79" s="30">
        <v>8.6999999999999993</v>
      </c>
      <c r="B79" s="184" t="s">
        <v>122</v>
      </c>
      <c r="C79" s="30" t="s">
        <v>7</v>
      </c>
      <c r="D79" s="30">
        <v>1</v>
      </c>
      <c r="E79" s="30"/>
      <c r="F79" s="30"/>
    </row>
    <row r="80" spans="1:6" ht="45" x14ac:dyDescent="0.25">
      <c r="A80" s="30">
        <v>8.8000000000000007</v>
      </c>
      <c r="B80" s="184" t="s">
        <v>123</v>
      </c>
      <c r="C80" s="30" t="s">
        <v>20</v>
      </c>
      <c r="D80" s="273">
        <v>150</v>
      </c>
      <c r="E80" s="30"/>
      <c r="F80" s="30"/>
    </row>
    <row r="81" spans="1:6" x14ac:dyDescent="0.25">
      <c r="A81" s="83"/>
      <c r="B81" s="88" t="s">
        <v>93</v>
      </c>
      <c r="C81" s="30"/>
      <c r="D81" s="30"/>
      <c r="E81" s="30"/>
      <c r="F81" s="30"/>
    </row>
    <row r="82" spans="1:6" ht="75" x14ac:dyDescent="0.25">
      <c r="A82" s="30">
        <v>8.9</v>
      </c>
      <c r="B82" s="192" t="s">
        <v>129</v>
      </c>
      <c r="C82" s="193" t="s">
        <v>27</v>
      </c>
      <c r="D82" s="193">
        <v>1</v>
      </c>
      <c r="E82" s="193"/>
      <c r="F82" s="193"/>
    </row>
    <row r="83" spans="1:6" ht="60" x14ac:dyDescent="0.25">
      <c r="A83" s="80">
        <v>8.1</v>
      </c>
      <c r="B83" s="46" t="s">
        <v>67</v>
      </c>
      <c r="C83" s="30" t="s">
        <v>27</v>
      </c>
      <c r="D83" s="30">
        <v>2</v>
      </c>
      <c r="E83" s="30"/>
      <c r="F83" s="30"/>
    </row>
    <row r="84" spans="1:6" ht="48.75" customHeight="1" x14ac:dyDescent="0.25">
      <c r="A84" s="30">
        <v>8.11</v>
      </c>
      <c r="B84" s="184" t="s">
        <v>130</v>
      </c>
      <c r="C84" s="30" t="s">
        <v>27</v>
      </c>
      <c r="D84" s="30">
        <v>1</v>
      </c>
      <c r="E84" s="30"/>
      <c r="F84" s="30"/>
    </row>
    <row r="85" spans="1:6" x14ac:dyDescent="0.25">
      <c r="A85" s="30"/>
      <c r="B85" s="187"/>
      <c r="C85" s="30"/>
      <c r="D85" s="30"/>
      <c r="E85" s="30"/>
      <c r="F85" s="30"/>
    </row>
    <row r="86" spans="1:6" x14ac:dyDescent="0.25">
      <c r="A86" s="83">
        <v>9</v>
      </c>
      <c r="B86" s="86" t="s">
        <v>50</v>
      </c>
      <c r="C86" s="30"/>
      <c r="D86" s="30"/>
      <c r="E86" s="30"/>
      <c r="F86" s="30"/>
    </row>
    <row r="87" spans="1:6" ht="45" x14ac:dyDescent="0.25">
      <c r="A87" s="30">
        <v>9.1</v>
      </c>
      <c r="B87" s="46" t="s">
        <v>33</v>
      </c>
      <c r="C87" s="30" t="s">
        <v>7</v>
      </c>
      <c r="D87" s="30">
        <v>1</v>
      </c>
      <c r="E87" s="30"/>
      <c r="F87" s="30"/>
    </row>
    <row r="88" spans="1:6" ht="45" x14ac:dyDescent="0.25">
      <c r="A88" s="30">
        <v>9.1999999999999993</v>
      </c>
      <c r="B88" s="46" t="s">
        <v>34</v>
      </c>
      <c r="C88" s="30" t="s">
        <v>7</v>
      </c>
      <c r="D88" s="207">
        <v>1</v>
      </c>
      <c r="E88" s="30"/>
      <c r="F88" s="30"/>
    </row>
    <row r="89" spans="1:6" ht="18" customHeight="1" x14ac:dyDescent="0.25">
      <c r="A89" s="30">
        <v>9.3000000000000007</v>
      </c>
      <c r="B89" s="46" t="s">
        <v>35</v>
      </c>
      <c r="C89" s="30" t="s">
        <v>27</v>
      </c>
      <c r="D89" s="199">
        <v>2</v>
      </c>
      <c r="E89" s="30"/>
      <c r="F89" s="30"/>
    </row>
    <row r="90" spans="1:6" ht="18" customHeight="1" x14ac:dyDescent="0.25">
      <c r="A90" s="30">
        <v>9.4</v>
      </c>
      <c r="B90" s="46" t="s">
        <v>63</v>
      </c>
      <c r="C90" s="30" t="s">
        <v>20</v>
      </c>
      <c r="D90" s="204">
        <v>25</v>
      </c>
      <c r="E90" s="30"/>
      <c r="F90" s="30"/>
    </row>
    <row r="91" spans="1:6" x14ac:dyDescent="0.25">
      <c r="A91" s="30"/>
      <c r="B91" s="187"/>
      <c r="C91" s="30"/>
      <c r="D91" s="204"/>
      <c r="E91" s="30"/>
      <c r="F91" s="30"/>
    </row>
    <row r="92" spans="1:6" x14ac:dyDescent="0.25">
      <c r="A92" s="83">
        <v>10</v>
      </c>
      <c r="B92" s="86" t="s">
        <v>47</v>
      </c>
      <c r="C92" s="30"/>
      <c r="D92" s="30"/>
      <c r="E92" s="30"/>
      <c r="F92" s="30"/>
    </row>
    <row r="93" spans="1:6" x14ac:dyDescent="0.25">
      <c r="A93" s="83"/>
      <c r="B93" s="88" t="s">
        <v>71</v>
      </c>
      <c r="C93" s="30"/>
      <c r="D93" s="30"/>
      <c r="E93" s="30"/>
      <c r="F93" s="30"/>
    </row>
    <row r="94" spans="1:6" ht="90" x14ac:dyDescent="0.25">
      <c r="A94" s="30">
        <v>10.1</v>
      </c>
      <c r="B94" s="46" t="s">
        <v>82</v>
      </c>
      <c r="C94" s="30" t="s">
        <v>27</v>
      </c>
      <c r="D94" s="30">
        <v>1</v>
      </c>
      <c r="E94" s="30"/>
      <c r="F94" s="30"/>
    </row>
    <row r="95" spans="1:6" ht="90" x14ac:dyDescent="0.25">
      <c r="A95" s="30">
        <v>10.199999999999999</v>
      </c>
      <c r="B95" s="46" t="s">
        <v>83</v>
      </c>
      <c r="C95" s="30" t="s">
        <v>27</v>
      </c>
      <c r="D95" s="30">
        <v>2</v>
      </c>
      <c r="E95" s="30"/>
      <c r="F95" s="30"/>
    </row>
    <row r="96" spans="1:6" ht="75" x14ac:dyDescent="0.25">
      <c r="A96" s="30">
        <v>10.3</v>
      </c>
      <c r="B96" s="46" t="s">
        <v>68</v>
      </c>
      <c r="C96" s="30" t="s">
        <v>27</v>
      </c>
      <c r="D96" s="30">
        <v>2</v>
      </c>
      <c r="E96" s="30"/>
      <c r="F96" s="30"/>
    </row>
    <row r="97" spans="1:6" x14ac:dyDescent="0.25">
      <c r="A97" s="30"/>
      <c r="B97" s="88" t="s">
        <v>136</v>
      </c>
      <c r="C97" s="30"/>
      <c r="D97" s="30"/>
      <c r="E97" s="30"/>
      <c r="F97" s="30"/>
    </row>
    <row r="98" spans="1:6" ht="75" x14ac:dyDescent="0.25">
      <c r="A98" s="30">
        <v>10.4</v>
      </c>
      <c r="B98" s="46" t="s">
        <v>137</v>
      </c>
      <c r="C98" s="30" t="s">
        <v>27</v>
      </c>
      <c r="D98" s="30">
        <v>1</v>
      </c>
      <c r="E98" s="30"/>
      <c r="F98" s="30"/>
    </row>
    <row r="99" spans="1:6" x14ac:dyDescent="0.25">
      <c r="A99" s="30"/>
      <c r="B99" s="187"/>
      <c r="C99" s="30"/>
      <c r="D99" s="30"/>
      <c r="E99" s="30"/>
      <c r="F99" s="30"/>
    </row>
    <row r="100" spans="1:6" x14ac:dyDescent="0.25">
      <c r="A100" s="83">
        <v>11</v>
      </c>
      <c r="B100" s="86" t="s">
        <v>97</v>
      </c>
      <c r="C100" s="30"/>
      <c r="D100" s="30"/>
      <c r="E100" s="30"/>
      <c r="F100" s="30"/>
    </row>
    <row r="101" spans="1:6" x14ac:dyDescent="0.25">
      <c r="A101" s="208"/>
      <c r="B101" s="88" t="s">
        <v>89</v>
      </c>
      <c r="C101" s="201"/>
      <c r="D101" s="30"/>
      <c r="E101" s="201"/>
      <c r="F101" s="201"/>
    </row>
    <row r="102" spans="1:6" ht="45" x14ac:dyDescent="0.25">
      <c r="A102" s="30">
        <v>11.1</v>
      </c>
      <c r="B102" s="46" t="s">
        <v>73</v>
      </c>
      <c r="C102" s="30" t="s">
        <v>7</v>
      </c>
      <c r="D102" s="30">
        <v>1</v>
      </c>
      <c r="E102" s="30"/>
      <c r="F102" s="30"/>
    </row>
    <row r="103" spans="1:6" s="259" customFormat="1" ht="30" x14ac:dyDescent="0.25">
      <c r="A103" s="201">
        <v>11.2</v>
      </c>
      <c r="B103" s="46" t="s">
        <v>85</v>
      </c>
      <c r="C103" s="30" t="s">
        <v>12</v>
      </c>
      <c r="D103" s="84">
        <f>(1.2*4)+2*((0.15*4)+(0.15*2))</f>
        <v>6.6</v>
      </c>
      <c r="E103" s="183"/>
      <c r="F103" s="183"/>
    </row>
    <row r="104" spans="1:6" x14ac:dyDescent="0.25">
      <c r="A104" s="208"/>
      <c r="B104" s="88" t="s">
        <v>90</v>
      </c>
      <c r="C104" s="201"/>
      <c r="D104" s="30"/>
      <c r="E104" s="201"/>
      <c r="F104" s="201"/>
    </row>
    <row r="105" spans="1:6" ht="30" x14ac:dyDescent="0.25">
      <c r="A105" s="30">
        <v>11.3</v>
      </c>
      <c r="B105" s="46" t="s">
        <v>32</v>
      </c>
      <c r="C105" s="30" t="s">
        <v>12</v>
      </c>
      <c r="D105" s="84">
        <f>C10*2.1</f>
        <v>166.95000000000002</v>
      </c>
      <c r="E105" s="30"/>
      <c r="F105" s="30"/>
    </row>
    <row r="106" spans="1:6" x14ac:dyDescent="0.25">
      <c r="A106" s="208"/>
      <c r="B106" s="88" t="s">
        <v>88</v>
      </c>
      <c r="C106" s="201"/>
      <c r="D106" s="30"/>
      <c r="E106" s="201"/>
      <c r="F106" s="201"/>
    </row>
    <row r="107" spans="1:6" ht="30" x14ac:dyDescent="0.25">
      <c r="A107" s="201">
        <v>11.4</v>
      </c>
      <c r="B107" s="209" t="s">
        <v>126</v>
      </c>
      <c r="C107" s="201" t="s">
        <v>12</v>
      </c>
      <c r="D107" s="84">
        <f>(C4*C5)+(C12*C13)+(C14*C15)</f>
        <v>219.76</v>
      </c>
      <c r="E107" s="201"/>
      <c r="F107" s="201"/>
    </row>
    <row r="108" spans="1:6" ht="45" x14ac:dyDescent="0.25">
      <c r="A108" s="201">
        <v>11.5</v>
      </c>
      <c r="B108" s="46" t="s">
        <v>74</v>
      </c>
      <c r="C108" s="30" t="s">
        <v>20</v>
      </c>
      <c r="D108" s="84">
        <f>8*3</f>
        <v>24</v>
      </c>
      <c r="E108" s="183"/>
      <c r="F108" s="183"/>
    </row>
    <row r="109" spans="1:6" ht="45" x14ac:dyDescent="0.25">
      <c r="A109" s="201">
        <v>11.6</v>
      </c>
      <c r="B109" s="46" t="s">
        <v>127</v>
      </c>
      <c r="C109" s="30" t="s">
        <v>7</v>
      </c>
      <c r="D109" s="30">
        <v>2</v>
      </c>
      <c r="E109" s="30"/>
      <c r="F109" s="30"/>
    </row>
    <row r="110" spans="1:6" s="259" customFormat="1" ht="30" x14ac:dyDescent="0.25">
      <c r="A110" s="201">
        <v>11.7</v>
      </c>
      <c r="B110" s="46" t="s">
        <v>128</v>
      </c>
      <c r="C110" s="30" t="s">
        <v>7</v>
      </c>
      <c r="D110" s="30">
        <v>1</v>
      </c>
      <c r="E110" s="30"/>
      <c r="F110" s="30"/>
    </row>
    <row r="111" spans="1:6" s="259" customFormat="1" ht="30" x14ac:dyDescent="0.25">
      <c r="A111" s="201">
        <v>11.8</v>
      </c>
      <c r="B111" s="46" t="s">
        <v>212</v>
      </c>
      <c r="C111" s="30" t="s">
        <v>27</v>
      </c>
      <c r="D111" s="30">
        <v>1</v>
      </c>
      <c r="E111" s="30"/>
      <c r="F111" s="30"/>
    </row>
    <row r="112" spans="1:6" s="259" customFormat="1" x14ac:dyDescent="0.25">
      <c r="A112" s="30"/>
      <c r="B112" s="187"/>
      <c r="C112" s="30"/>
      <c r="D112" s="30"/>
      <c r="E112" s="30"/>
      <c r="F112" s="30"/>
    </row>
    <row r="113" spans="1:6" s="259" customFormat="1" x14ac:dyDescent="0.25">
      <c r="A113" s="83">
        <v>12</v>
      </c>
      <c r="B113" s="86" t="s">
        <v>149</v>
      </c>
      <c r="C113" s="30"/>
      <c r="D113" s="30"/>
      <c r="E113" s="30"/>
      <c r="F113" s="30"/>
    </row>
    <row r="114" spans="1:6" s="256" customFormat="1" x14ac:dyDescent="0.25">
      <c r="A114" s="183">
        <v>12.1</v>
      </c>
      <c r="B114" s="184" t="s">
        <v>75</v>
      </c>
      <c r="C114" s="183" t="s">
        <v>7</v>
      </c>
      <c r="D114" s="183">
        <v>1</v>
      </c>
      <c r="E114" s="183"/>
      <c r="F114" s="183"/>
    </row>
    <row r="115" spans="1:6" s="256" customFormat="1" ht="17.25" customHeight="1" x14ac:dyDescent="0.25">
      <c r="A115" s="183">
        <v>12.2</v>
      </c>
      <c r="B115" s="184" t="s">
        <v>38</v>
      </c>
      <c r="C115" s="183" t="s">
        <v>7</v>
      </c>
      <c r="D115" s="183">
        <v>1</v>
      </c>
      <c r="E115" s="183"/>
      <c r="F115" s="183"/>
    </row>
    <row r="116" spans="1:6" s="256" customFormat="1" x14ac:dyDescent="0.25">
      <c r="A116" s="183">
        <v>12.3</v>
      </c>
      <c r="B116" s="184" t="s">
        <v>39</v>
      </c>
      <c r="C116" s="183" t="s">
        <v>7</v>
      </c>
      <c r="D116" s="183">
        <v>1</v>
      </c>
      <c r="E116" s="183"/>
      <c r="F116" s="183"/>
    </row>
    <row r="117" spans="1:6" ht="15.75" thickBot="1" x14ac:dyDescent="0.3">
      <c r="A117" s="260"/>
      <c r="B117" s="261"/>
      <c r="C117" s="262"/>
      <c r="D117" s="262"/>
      <c r="E117" s="263" t="s">
        <v>41</v>
      </c>
      <c r="F117" s="264"/>
    </row>
    <row r="118" spans="1:6" ht="15.75" thickTop="1" x14ac:dyDescent="0.25">
      <c r="A118" s="260"/>
      <c r="B118" s="261"/>
      <c r="C118" s="260"/>
      <c r="D118" s="260"/>
      <c r="E118" s="265"/>
      <c r="F118" s="265"/>
    </row>
    <row r="119" spans="1:6" x14ac:dyDescent="0.25">
      <c r="A119" s="260"/>
      <c r="B119" s="261"/>
      <c r="C119" s="260"/>
      <c r="D119" s="260"/>
      <c r="E119" s="265"/>
      <c r="F119" s="265"/>
    </row>
    <row r="120" spans="1:6" x14ac:dyDescent="0.25">
      <c r="A120" s="260"/>
      <c r="B120" s="261"/>
      <c r="C120" s="260"/>
      <c r="D120" s="260"/>
      <c r="E120" s="265"/>
      <c r="F120" s="265"/>
    </row>
    <row r="121" spans="1:6" x14ac:dyDescent="0.25">
      <c r="A121" s="260"/>
      <c r="B121" s="261"/>
      <c r="C121" s="260"/>
      <c r="D121" s="260"/>
      <c r="E121" s="265"/>
      <c r="F121" s="265"/>
    </row>
    <row r="122" spans="1:6" x14ac:dyDescent="0.25">
      <c r="A122" s="260"/>
      <c r="B122" s="261"/>
      <c r="C122" s="260"/>
      <c r="D122" s="260"/>
      <c r="E122" s="265"/>
      <c r="F122" s="265"/>
    </row>
    <row r="123" spans="1:6" x14ac:dyDescent="0.25">
      <c r="A123" s="260"/>
      <c r="B123" s="261"/>
      <c r="C123" s="260"/>
      <c r="D123" s="260"/>
      <c r="E123" s="265"/>
      <c r="F123" s="265"/>
    </row>
  </sheetData>
  <mergeCells count="2">
    <mergeCell ref="A1:F1"/>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&amp;R&amp;9&amp;KFF0000GA. NILANDHOO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3"/>
  <sheetViews>
    <sheetView topLeftCell="A4" zoomScale="115" zoomScaleNormal="115" workbookViewId="0">
      <selection activeCell="B3" sqref="B3:D3"/>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270" t="s">
        <v>152</v>
      </c>
      <c r="C1" s="270"/>
      <c r="D1" s="270"/>
      <c r="E1" s="23"/>
      <c r="F1" s="23"/>
      <c r="G1" s="23"/>
    </row>
    <row r="2" spans="2:8" s="22" customFormat="1" ht="15.75" x14ac:dyDescent="0.25">
      <c r="B2" s="270" t="s">
        <v>40</v>
      </c>
      <c r="C2" s="270"/>
      <c r="D2" s="270"/>
      <c r="E2" s="23"/>
      <c r="F2" s="23"/>
      <c r="G2" s="23"/>
    </row>
    <row r="3" spans="2:8" s="22" customFormat="1" ht="15.75" x14ac:dyDescent="0.25">
      <c r="B3" s="269" t="s">
        <v>46</v>
      </c>
      <c r="C3" s="269"/>
      <c r="D3" s="269"/>
      <c r="E3" s="24"/>
      <c r="F3" s="24"/>
      <c r="G3" s="24"/>
    </row>
    <row r="4" spans="2:8" x14ac:dyDescent="0.25">
      <c r="B4" s="2"/>
      <c r="C4" s="2"/>
      <c r="D4" s="2"/>
      <c r="E4" s="3"/>
      <c r="F4" s="3"/>
      <c r="G4" s="3"/>
      <c r="H4" s="4"/>
    </row>
    <row r="5" spans="2:8" s="1" customFormat="1" ht="23.25" customHeight="1" x14ac:dyDescent="0.25">
      <c r="B5" s="9" t="s">
        <v>42</v>
      </c>
      <c r="C5" s="9" t="s">
        <v>1</v>
      </c>
      <c r="D5" s="9" t="s">
        <v>5</v>
      </c>
      <c r="E5" s="6"/>
      <c r="F5" s="6"/>
      <c r="G5" s="6"/>
      <c r="H5" s="7"/>
    </row>
    <row r="6" spans="2:8" s="1" customFormat="1" ht="23.25" customHeight="1" x14ac:dyDescent="0.25">
      <c r="B6" s="6">
        <v>1</v>
      </c>
      <c r="C6" s="8" t="s">
        <v>36</v>
      </c>
      <c r="D6" s="6"/>
      <c r="E6" s="5"/>
      <c r="F6" s="6"/>
      <c r="G6" s="6"/>
      <c r="H6" s="7"/>
    </row>
    <row r="7" spans="2:8" s="1" customFormat="1" ht="23.25" customHeight="1" x14ac:dyDescent="0.25">
      <c r="B7" s="10">
        <v>2</v>
      </c>
      <c r="C7" s="11" t="s">
        <v>150</v>
      </c>
      <c r="D7" s="10"/>
      <c r="E7" s="5"/>
      <c r="F7" s="6"/>
      <c r="G7" s="6"/>
      <c r="H7" s="7"/>
    </row>
    <row r="8" spans="2:8" s="1" customFormat="1" ht="23.25" customHeight="1" x14ac:dyDescent="0.25">
      <c r="B8" s="10">
        <v>3</v>
      </c>
      <c r="C8" s="12" t="s">
        <v>6</v>
      </c>
      <c r="D8" s="13"/>
      <c r="E8" s="7"/>
      <c r="F8" s="7"/>
      <c r="G8" s="7"/>
      <c r="H8" s="7"/>
    </row>
    <row r="9" spans="2:8" s="1" customFormat="1" ht="23.25" customHeight="1" x14ac:dyDescent="0.25">
      <c r="B9" s="6">
        <v>4</v>
      </c>
      <c r="C9" s="14" t="s">
        <v>13</v>
      </c>
      <c r="D9" s="13"/>
    </row>
    <row r="10" spans="2:8" s="1" customFormat="1" ht="23.25" customHeight="1" x14ac:dyDescent="0.25">
      <c r="B10" s="10">
        <v>5</v>
      </c>
      <c r="C10" s="14" t="s">
        <v>48</v>
      </c>
      <c r="D10" s="13"/>
    </row>
    <row r="11" spans="2:8" s="1" customFormat="1" ht="23.25" customHeight="1" x14ac:dyDescent="0.25">
      <c r="B11" s="10">
        <v>6</v>
      </c>
      <c r="C11" s="14" t="s">
        <v>19</v>
      </c>
      <c r="D11" s="13"/>
    </row>
    <row r="12" spans="2:8" s="1" customFormat="1" ht="23.25" customHeight="1" x14ac:dyDescent="0.25">
      <c r="B12" s="6">
        <v>7</v>
      </c>
      <c r="C12" s="14" t="s">
        <v>21</v>
      </c>
      <c r="D12" s="13"/>
    </row>
    <row r="13" spans="2:8" s="1" customFormat="1" ht="23.25" customHeight="1" x14ac:dyDescent="0.25">
      <c r="B13" s="10">
        <v>8</v>
      </c>
      <c r="C13" s="14" t="s">
        <v>22</v>
      </c>
      <c r="D13" s="13"/>
    </row>
    <row r="14" spans="2:8" s="1" customFormat="1" ht="23.25" customHeight="1" x14ac:dyDescent="0.25">
      <c r="B14" s="10">
        <v>9</v>
      </c>
      <c r="C14" s="14" t="s">
        <v>25</v>
      </c>
      <c r="D14" s="13"/>
    </row>
    <row r="15" spans="2:8" s="1" customFormat="1" ht="23.25" customHeight="1" x14ac:dyDescent="0.25">
      <c r="B15" s="6">
        <v>10</v>
      </c>
      <c r="C15" s="14" t="s">
        <v>49</v>
      </c>
      <c r="D15" s="13"/>
    </row>
    <row r="16" spans="2:8" s="1" customFormat="1" ht="23.25" customHeight="1" x14ac:dyDescent="0.25">
      <c r="B16" s="10">
        <v>11</v>
      </c>
      <c r="C16" s="14" t="s">
        <v>50</v>
      </c>
      <c r="D16" s="13"/>
    </row>
    <row r="17" spans="2:4" s="1" customFormat="1" ht="23.25" customHeight="1" x14ac:dyDescent="0.25">
      <c r="B17" s="10">
        <v>12</v>
      </c>
      <c r="C17" s="14" t="s">
        <v>47</v>
      </c>
      <c r="D17" s="13"/>
    </row>
    <row r="18" spans="2:4" s="1" customFormat="1" ht="23.25" customHeight="1" x14ac:dyDescent="0.25">
      <c r="B18" s="6">
        <v>13</v>
      </c>
      <c r="C18" s="14" t="s">
        <v>97</v>
      </c>
      <c r="D18" s="13"/>
    </row>
    <row r="19" spans="2:4" s="1" customFormat="1" ht="23.25" customHeight="1" x14ac:dyDescent="0.25">
      <c r="B19" s="10">
        <v>14</v>
      </c>
      <c r="C19" s="14" t="s">
        <v>151</v>
      </c>
      <c r="D19" s="13"/>
    </row>
    <row r="20" spans="2:4" ht="22.5" customHeight="1" x14ac:dyDescent="0.25">
      <c r="B20" s="17"/>
      <c r="C20" s="18" t="s">
        <v>43</v>
      </c>
      <c r="D20" s="17"/>
    </row>
    <row r="21" spans="2:4" ht="21.75" customHeight="1" x14ac:dyDescent="0.25">
      <c r="B21" s="16"/>
      <c r="C21" s="19" t="s">
        <v>44</v>
      </c>
      <c r="D21" s="16"/>
    </row>
    <row r="22" spans="2:4" ht="9" customHeight="1" x14ac:dyDescent="0.25">
      <c r="C22" s="20"/>
    </row>
    <row r="23" spans="2:4" ht="25.5" customHeight="1" thickBot="1" x14ac:dyDescent="0.3">
      <c r="B23" s="15"/>
      <c r="C23" s="21" t="s">
        <v>45</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5"/>
  <sheetViews>
    <sheetView zoomScale="115" zoomScaleNormal="115" zoomScaleSheetLayoutView="115" workbookViewId="0">
      <selection activeCell="J28" sqref="J28"/>
    </sheetView>
  </sheetViews>
  <sheetFormatPr defaultColWidth="9.140625" defaultRowHeight="15" x14ac:dyDescent="0.25"/>
  <cols>
    <col min="1" max="1" width="9.140625" style="38"/>
    <col min="2" max="2" width="49.7109375" style="1" bestFit="1" customWidth="1"/>
    <col min="3" max="3" width="9.140625" style="38" customWidth="1"/>
    <col min="4" max="4" width="9.140625" style="38"/>
    <col min="5" max="5" width="12.140625" style="39" bestFit="1" customWidth="1"/>
    <col min="6" max="6" width="15" style="115" customWidth="1"/>
    <col min="7" max="7" width="15" style="39" customWidth="1"/>
    <col min="8" max="8" width="9.140625" style="39"/>
    <col min="9" max="9" width="12.42578125" style="39" bestFit="1" customWidth="1"/>
    <col min="10" max="10" width="11.85546875" style="39" customWidth="1"/>
    <col min="11" max="11" width="12" style="39" customWidth="1"/>
    <col min="12" max="16384" width="9.140625" style="39"/>
  </cols>
  <sheetData>
    <row r="1" spans="1:11" x14ac:dyDescent="0.25">
      <c r="A1" s="271" t="s">
        <v>153</v>
      </c>
      <c r="B1" s="271"/>
      <c r="C1" s="271"/>
      <c r="D1" s="271"/>
      <c r="E1" s="271"/>
      <c r="F1" s="271"/>
      <c r="G1" s="92"/>
    </row>
    <row r="2" spans="1:11" x14ac:dyDescent="0.25">
      <c r="A2" s="271" t="s">
        <v>40</v>
      </c>
      <c r="B2" s="271"/>
      <c r="C2" s="271"/>
      <c r="D2" s="271"/>
      <c r="E2" s="271"/>
      <c r="F2" s="271"/>
      <c r="G2" s="92"/>
    </row>
    <row r="3" spans="1:11" x14ac:dyDescent="0.25">
      <c r="A3" s="91"/>
      <c r="B3" s="71"/>
      <c r="C3" s="91"/>
      <c r="D3" s="91"/>
      <c r="E3" s="91"/>
      <c r="F3" s="105"/>
      <c r="G3" s="92"/>
    </row>
    <row r="4" spans="1:11" hidden="1" x14ac:dyDescent="0.25">
      <c r="A4" s="91"/>
      <c r="B4" s="72" t="s">
        <v>107</v>
      </c>
      <c r="C4" s="74">
        <v>23.2</v>
      </c>
      <c r="D4" s="91"/>
      <c r="E4" s="91"/>
      <c r="F4" s="105"/>
      <c r="G4" s="92"/>
    </row>
    <row r="5" spans="1:11" hidden="1" x14ac:dyDescent="0.25">
      <c r="A5" s="91"/>
      <c r="B5" s="72" t="s">
        <v>106</v>
      </c>
      <c r="C5" s="74">
        <v>4.3</v>
      </c>
      <c r="D5" s="91"/>
      <c r="E5" s="91"/>
      <c r="F5" s="105"/>
      <c r="G5" s="92"/>
    </row>
    <row r="6" spans="1:11" hidden="1" x14ac:dyDescent="0.25">
      <c r="A6" s="91"/>
      <c r="B6" s="72" t="s">
        <v>99</v>
      </c>
      <c r="C6" s="74">
        <f>23.2+4.3+4.3+4.3+4.3+1.5</f>
        <v>41.9</v>
      </c>
      <c r="D6" s="91"/>
      <c r="E6" s="91"/>
      <c r="F6" s="105"/>
      <c r="G6" s="92"/>
    </row>
    <row r="7" spans="1:11" hidden="1" x14ac:dyDescent="0.25">
      <c r="A7" s="91"/>
      <c r="B7" s="72" t="s">
        <v>102</v>
      </c>
      <c r="C7" s="74">
        <v>10</v>
      </c>
      <c r="D7" s="91"/>
      <c r="E7" s="91"/>
      <c r="F7" s="105"/>
      <c r="G7" s="92"/>
    </row>
    <row r="8" spans="1:11" hidden="1" x14ac:dyDescent="0.25">
      <c r="A8" s="91"/>
      <c r="B8" s="72" t="s">
        <v>104</v>
      </c>
      <c r="C8" s="77">
        <f>C6/3</f>
        <v>13.966666666666667</v>
      </c>
      <c r="D8" s="91"/>
      <c r="E8" s="91"/>
      <c r="F8" s="105"/>
      <c r="G8" s="92"/>
    </row>
    <row r="9" spans="1:11" hidden="1" x14ac:dyDescent="0.25">
      <c r="A9" s="91"/>
      <c r="B9" s="73" t="s">
        <v>100</v>
      </c>
      <c r="C9" s="74">
        <f>4*4</f>
        <v>16</v>
      </c>
      <c r="D9" s="91"/>
      <c r="E9" s="91"/>
      <c r="F9" s="105"/>
      <c r="G9" s="92"/>
    </row>
    <row r="10" spans="1:11" hidden="1" x14ac:dyDescent="0.25">
      <c r="A10" s="71"/>
      <c r="B10" s="73" t="s">
        <v>101</v>
      </c>
      <c r="C10" s="79">
        <f>(2*(24+31))-3-4.3-23.2</f>
        <v>79.5</v>
      </c>
      <c r="D10" s="71"/>
      <c r="E10" s="75"/>
      <c r="F10" s="106"/>
      <c r="G10" s="75"/>
      <c r="H10" s="76"/>
      <c r="I10" s="76"/>
      <c r="J10" s="76"/>
      <c r="K10" s="76"/>
    </row>
    <row r="11" spans="1:11" hidden="1" x14ac:dyDescent="0.25">
      <c r="A11" s="71"/>
      <c r="B11" s="73" t="s">
        <v>103</v>
      </c>
      <c r="C11" s="78">
        <f>C10/2</f>
        <v>39.75</v>
      </c>
      <c r="D11" s="71"/>
      <c r="E11" s="75"/>
      <c r="F11" s="106"/>
      <c r="G11" s="75"/>
      <c r="H11" s="76"/>
      <c r="I11" s="76"/>
      <c r="J11" s="76"/>
      <c r="K11" s="76"/>
    </row>
    <row r="12" spans="1:11" hidden="1" x14ac:dyDescent="0.25">
      <c r="A12" s="71"/>
      <c r="B12" s="72" t="s">
        <v>108</v>
      </c>
      <c r="C12" s="78">
        <v>15</v>
      </c>
      <c r="D12" s="71"/>
      <c r="E12" s="75"/>
      <c r="F12" s="106"/>
      <c r="G12" s="75"/>
      <c r="H12" s="76"/>
      <c r="I12" s="76"/>
      <c r="J12" s="76"/>
      <c r="K12" s="76"/>
    </row>
    <row r="13" spans="1:11" hidden="1" x14ac:dyDescent="0.25">
      <c r="A13" s="71"/>
      <c r="B13" s="72" t="s">
        <v>109</v>
      </c>
      <c r="C13" s="78">
        <v>8</v>
      </c>
      <c r="D13" s="71"/>
      <c r="E13" s="75"/>
      <c r="F13" s="106"/>
      <c r="G13" s="75"/>
      <c r="H13" s="76"/>
      <c r="I13" s="76"/>
      <c r="J13" s="76"/>
      <c r="K13" s="76"/>
    </row>
    <row r="14" spans="1:11" hidden="1" x14ac:dyDescent="0.25">
      <c r="A14" s="71"/>
      <c r="B14" s="72" t="s">
        <v>110</v>
      </c>
      <c r="C14" s="78">
        <v>0</v>
      </c>
      <c r="D14" s="71"/>
      <c r="E14" s="75"/>
      <c r="F14" s="106"/>
      <c r="G14" s="75"/>
      <c r="H14" s="76"/>
      <c r="I14" s="76"/>
      <c r="J14" s="76"/>
      <c r="K14" s="76"/>
    </row>
    <row r="15" spans="1:11" hidden="1" x14ac:dyDescent="0.25">
      <c r="A15" s="71"/>
      <c r="B15" s="72" t="s">
        <v>111</v>
      </c>
      <c r="C15" s="78">
        <v>0</v>
      </c>
      <c r="D15" s="71"/>
      <c r="E15" s="75"/>
      <c r="F15" s="106"/>
      <c r="G15" s="75"/>
      <c r="H15" s="76"/>
      <c r="I15" s="76"/>
      <c r="J15" s="76"/>
      <c r="K15" s="76"/>
    </row>
    <row r="16" spans="1:11" x14ac:dyDescent="0.25">
      <c r="A16" s="91"/>
      <c r="B16" s="71"/>
      <c r="C16" s="91"/>
      <c r="D16" s="91"/>
      <c r="E16" s="91"/>
      <c r="F16" s="105"/>
      <c r="G16" s="92"/>
      <c r="J16" s="272" t="s">
        <v>162</v>
      </c>
      <c r="K16" s="272"/>
    </row>
    <row r="17" spans="1:11" s="40" customFormat="1" x14ac:dyDescent="0.25">
      <c r="A17" s="35" t="s">
        <v>0</v>
      </c>
      <c r="B17" s="55" t="s">
        <v>1</v>
      </c>
      <c r="C17" s="35" t="s">
        <v>2</v>
      </c>
      <c r="D17" s="35" t="s">
        <v>3</v>
      </c>
      <c r="E17" s="35" t="s">
        <v>4</v>
      </c>
      <c r="F17" s="107" t="s">
        <v>5</v>
      </c>
      <c r="G17" s="35"/>
      <c r="H17" s="96"/>
      <c r="I17" s="155"/>
      <c r="J17" s="162" t="s">
        <v>161</v>
      </c>
      <c r="K17" s="162" t="s">
        <v>5</v>
      </c>
    </row>
    <row r="18" spans="1:11" s="40" customFormat="1" x14ac:dyDescent="0.25">
      <c r="A18" s="36">
        <v>1</v>
      </c>
      <c r="B18" s="56" t="s">
        <v>36</v>
      </c>
      <c r="C18" s="36"/>
      <c r="D18" s="36"/>
      <c r="E18" s="36"/>
      <c r="F18" s="108"/>
      <c r="G18" s="35"/>
      <c r="H18" s="96"/>
      <c r="I18" s="155"/>
      <c r="J18" s="163"/>
      <c r="K18" s="163"/>
    </row>
    <row r="19" spans="1:11" s="40" customFormat="1" x14ac:dyDescent="0.25">
      <c r="A19" s="25">
        <v>1.1000000000000001</v>
      </c>
      <c r="B19" s="42" t="s">
        <v>37</v>
      </c>
      <c r="C19" s="25" t="s">
        <v>7</v>
      </c>
      <c r="D19" s="25">
        <v>1</v>
      </c>
      <c r="E19" s="25">
        <v>5000</v>
      </c>
      <c r="F19" s="109">
        <v>5000</v>
      </c>
      <c r="G19" s="97"/>
      <c r="H19" s="96"/>
      <c r="I19" s="155"/>
      <c r="J19" s="163">
        <v>1</v>
      </c>
      <c r="K19" s="163">
        <f>+J19*E19</f>
        <v>5000</v>
      </c>
    </row>
    <row r="20" spans="1:11" s="40" customFormat="1" ht="45" x14ac:dyDescent="0.25">
      <c r="A20" s="25">
        <v>1.2</v>
      </c>
      <c r="B20" s="42" t="s">
        <v>147</v>
      </c>
      <c r="C20" s="25" t="s">
        <v>7</v>
      </c>
      <c r="D20" s="25">
        <v>1</v>
      </c>
      <c r="E20" s="25">
        <v>2500</v>
      </c>
      <c r="F20" s="109">
        <v>2500</v>
      </c>
      <c r="G20" s="97"/>
      <c r="H20" s="96"/>
      <c r="I20" s="155"/>
      <c r="J20" s="163">
        <v>0.5</v>
      </c>
      <c r="K20" s="163">
        <f t="shared" ref="K20:K83" si="0">+J20*E20</f>
        <v>1250</v>
      </c>
    </row>
    <row r="21" spans="1:11" s="40" customFormat="1" x14ac:dyDescent="0.25">
      <c r="A21" s="27"/>
      <c r="B21" s="57"/>
      <c r="C21" s="27"/>
      <c r="D21" s="27"/>
      <c r="E21" s="27"/>
      <c r="F21" s="110">
        <v>7500</v>
      </c>
      <c r="G21" s="35"/>
      <c r="H21" s="96"/>
      <c r="I21" s="155"/>
      <c r="J21" s="163"/>
      <c r="K21" s="163">
        <f t="shared" si="0"/>
        <v>0</v>
      </c>
    </row>
    <row r="22" spans="1:11" x14ac:dyDescent="0.25">
      <c r="A22" s="27">
        <v>2</v>
      </c>
      <c r="B22" s="57" t="s">
        <v>138</v>
      </c>
      <c r="C22" s="26"/>
      <c r="D22" s="26"/>
      <c r="E22" s="26"/>
      <c r="F22" s="109"/>
      <c r="G22" s="98"/>
      <c r="H22" s="99"/>
      <c r="I22" s="156"/>
      <c r="J22" s="163"/>
      <c r="K22" s="163">
        <f t="shared" si="0"/>
        <v>0</v>
      </c>
    </row>
    <row r="23" spans="1:11" ht="45" x14ac:dyDescent="0.25">
      <c r="A23" s="25">
        <v>2.1</v>
      </c>
      <c r="B23" s="43" t="s">
        <v>148</v>
      </c>
      <c r="C23" s="26" t="s">
        <v>7</v>
      </c>
      <c r="D23" s="26">
        <v>1</v>
      </c>
      <c r="E23" s="26">
        <v>2500</v>
      </c>
      <c r="F23" s="109">
        <v>2500</v>
      </c>
      <c r="G23" s="98"/>
      <c r="H23" s="99"/>
      <c r="I23" s="156"/>
      <c r="J23" s="163">
        <v>1</v>
      </c>
      <c r="K23" s="163">
        <f t="shared" si="0"/>
        <v>2500</v>
      </c>
    </row>
    <row r="24" spans="1:11" x14ac:dyDescent="0.25">
      <c r="A24" s="25"/>
      <c r="B24" s="59" t="s">
        <v>139</v>
      </c>
      <c r="C24" s="26"/>
      <c r="D24" s="26"/>
      <c r="E24" s="26"/>
      <c r="F24" s="109"/>
      <c r="G24" s="98"/>
      <c r="H24" s="99"/>
      <c r="I24" s="156"/>
      <c r="J24" s="163"/>
      <c r="K24" s="163">
        <f t="shared" si="0"/>
        <v>0</v>
      </c>
    </row>
    <row r="25" spans="1:11" ht="30" x14ac:dyDescent="0.25">
      <c r="A25" s="25">
        <v>2.2000000000000002</v>
      </c>
      <c r="B25" s="43" t="s">
        <v>141</v>
      </c>
      <c r="C25" s="26" t="s">
        <v>7</v>
      </c>
      <c r="D25" s="26">
        <v>20</v>
      </c>
      <c r="E25" s="26">
        <v>250</v>
      </c>
      <c r="F25" s="109">
        <v>5000</v>
      </c>
      <c r="G25" s="98"/>
      <c r="H25" s="99"/>
      <c r="I25" s="156"/>
      <c r="J25" s="163"/>
      <c r="K25" s="163">
        <f t="shared" si="0"/>
        <v>0</v>
      </c>
    </row>
    <row r="26" spans="1:11" x14ac:dyDescent="0.25">
      <c r="A26" s="25">
        <v>2.2999999999999998</v>
      </c>
      <c r="B26" s="121" t="s">
        <v>146</v>
      </c>
      <c r="C26" s="122" t="s">
        <v>20</v>
      </c>
      <c r="D26" s="122">
        <f>5.4+2</f>
        <v>7.4</v>
      </c>
      <c r="E26" s="122">
        <v>500</v>
      </c>
      <c r="F26" s="123">
        <v>3700</v>
      </c>
      <c r="G26" s="98"/>
      <c r="H26" s="99"/>
      <c r="I26" s="157">
        <f>F26</f>
        <v>3700</v>
      </c>
      <c r="J26" s="163">
        <f>+D26</f>
        <v>7.4</v>
      </c>
      <c r="K26" s="163">
        <f t="shared" si="0"/>
        <v>3700</v>
      </c>
    </row>
    <row r="27" spans="1:11" x14ac:dyDescent="0.25">
      <c r="A27" s="26"/>
      <c r="B27" s="59" t="s">
        <v>140</v>
      </c>
      <c r="C27" s="26"/>
      <c r="D27" s="26"/>
      <c r="E27" s="26"/>
      <c r="F27" s="109"/>
      <c r="G27" s="98"/>
      <c r="H27" s="99"/>
      <c r="I27" s="156"/>
      <c r="J27" s="163"/>
      <c r="K27" s="163">
        <f t="shared" si="0"/>
        <v>0</v>
      </c>
    </row>
    <row r="28" spans="1:11" ht="30" x14ac:dyDescent="0.25">
      <c r="A28" s="26">
        <v>2.4</v>
      </c>
      <c r="B28" s="43" t="s">
        <v>142</v>
      </c>
      <c r="C28" s="26" t="s">
        <v>20</v>
      </c>
      <c r="D28" s="26">
        <f>2*(18+12)</f>
        <v>60</v>
      </c>
      <c r="E28" s="26">
        <v>25</v>
      </c>
      <c r="F28" s="109">
        <v>1500</v>
      </c>
      <c r="G28" s="98"/>
      <c r="H28" s="99"/>
      <c r="I28" s="156"/>
      <c r="J28" s="163"/>
      <c r="K28" s="163">
        <f t="shared" si="0"/>
        <v>0</v>
      </c>
    </row>
    <row r="29" spans="1:11" x14ac:dyDescent="0.25">
      <c r="A29" s="26"/>
      <c r="B29" s="58"/>
      <c r="C29" s="26"/>
      <c r="D29" s="26"/>
      <c r="E29" s="26"/>
      <c r="F29" s="110">
        <v>12700</v>
      </c>
      <c r="G29" s="98"/>
      <c r="H29" s="99"/>
      <c r="I29" s="156"/>
      <c r="J29" s="163"/>
      <c r="K29" s="163">
        <f t="shared" si="0"/>
        <v>0</v>
      </c>
    </row>
    <row r="30" spans="1:11" x14ac:dyDescent="0.25">
      <c r="A30" s="27">
        <v>3</v>
      </c>
      <c r="B30" s="57" t="s">
        <v>6</v>
      </c>
      <c r="C30" s="26"/>
      <c r="D30" s="26"/>
      <c r="E30" s="26"/>
      <c r="F30" s="109"/>
      <c r="G30" s="98"/>
      <c r="H30" s="99"/>
      <c r="I30" s="156"/>
      <c r="J30" s="163"/>
      <c r="K30" s="163">
        <f t="shared" si="0"/>
        <v>0</v>
      </c>
    </row>
    <row r="31" spans="1:11" x14ac:dyDescent="0.25">
      <c r="A31" s="25"/>
      <c r="B31" s="59" t="s">
        <v>8</v>
      </c>
      <c r="C31" s="26"/>
      <c r="D31" s="26"/>
      <c r="E31" s="26"/>
      <c r="F31" s="109"/>
      <c r="G31" s="98"/>
      <c r="H31" s="99"/>
      <c r="I31" s="156"/>
      <c r="J31" s="163"/>
      <c r="K31" s="163">
        <f t="shared" si="0"/>
        <v>0</v>
      </c>
    </row>
    <row r="32" spans="1:11" x14ac:dyDescent="0.25">
      <c r="A32" s="25">
        <v>3.1</v>
      </c>
      <c r="B32" s="43" t="s">
        <v>98</v>
      </c>
      <c r="C32" s="26" t="s">
        <v>9</v>
      </c>
      <c r="D32" s="66">
        <f>(((0.3*0.15)+(0.4*0.15))*C6)+(C7*0.55*0.3*0.3)</f>
        <v>4.8944999999999999</v>
      </c>
      <c r="E32" s="26">
        <v>150</v>
      </c>
      <c r="F32" s="109">
        <v>2200.5</v>
      </c>
      <c r="G32" s="98"/>
      <c r="H32" s="99"/>
      <c r="I32" s="156"/>
      <c r="J32" s="163"/>
      <c r="K32" s="163">
        <f t="shared" si="0"/>
        <v>0</v>
      </c>
    </row>
    <row r="33" spans="1:11" x14ac:dyDescent="0.25">
      <c r="A33" s="25">
        <v>3.2</v>
      </c>
      <c r="B33" s="43" t="s">
        <v>105</v>
      </c>
      <c r="C33" s="26" t="s">
        <v>9</v>
      </c>
      <c r="D33" s="66">
        <f>((0.15*0.3)+(0.4*0.15))*C10</f>
        <v>8.3475000000000001</v>
      </c>
      <c r="E33" s="26">
        <v>150</v>
      </c>
      <c r="F33" s="109">
        <v>3757.5</v>
      </c>
      <c r="G33" s="98"/>
      <c r="H33" s="99"/>
      <c r="I33" s="156"/>
      <c r="J33" s="163"/>
      <c r="K33" s="163">
        <f t="shared" si="0"/>
        <v>0</v>
      </c>
    </row>
    <row r="34" spans="1:11" x14ac:dyDescent="0.25">
      <c r="A34" s="25">
        <v>3.4</v>
      </c>
      <c r="B34" s="43" t="s">
        <v>10</v>
      </c>
      <c r="C34" s="26" t="s">
        <v>9</v>
      </c>
      <c r="D34" s="66">
        <f>0.4*0.4*0.4*2</f>
        <v>0.12800000000000003</v>
      </c>
      <c r="E34" s="26">
        <v>150</v>
      </c>
      <c r="F34" s="109">
        <v>58.5</v>
      </c>
      <c r="G34" s="98"/>
      <c r="H34" s="99"/>
      <c r="I34" s="156"/>
      <c r="J34" s="163"/>
      <c r="K34" s="163">
        <f t="shared" si="0"/>
        <v>0</v>
      </c>
    </row>
    <row r="35" spans="1:11" x14ac:dyDescent="0.25">
      <c r="A35" s="25">
        <v>3.5</v>
      </c>
      <c r="B35" s="43" t="s">
        <v>11</v>
      </c>
      <c r="C35" s="26" t="s">
        <v>12</v>
      </c>
      <c r="D35" s="66">
        <f>(C4*C5)+(C12*C13)+(C14*C15)</f>
        <v>219.76</v>
      </c>
      <c r="E35" s="26">
        <v>35</v>
      </c>
      <c r="F35" s="109">
        <v>15383.2</v>
      </c>
      <c r="G35" s="98"/>
      <c r="H35" s="99"/>
      <c r="I35" s="156"/>
      <c r="J35" s="163"/>
      <c r="K35" s="163">
        <f t="shared" si="0"/>
        <v>0</v>
      </c>
    </row>
    <row r="36" spans="1:11" x14ac:dyDescent="0.25">
      <c r="A36" s="25">
        <v>3.6</v>
      </c>
      <c r="B36" s="43" t="s">
        <v>55</v>
      </c>
      <c r="C36" s="26" t="s">
        <v>9</v>
      </c>
      <c r="D36" s="50">
        <f>1*2*3</f>
        <v>6</v>
      </c>
      <c r="E36" s="26">
        <v>150</v>
      </c>
      <c r="F36" s="109">
        <v>2700</v>
      </c>
      <c r="G36" s="98"/>
      <c r="H36" s="99"/>
      <c r="I36" s="156"/>
      <c r="J36" s="163"/>
      <c r="K36" s="163">
        <f t="shared" si="0"/>
        <v>0</v>
      </c>
    </row>
    <row r="37" spans="1:11" x14ac:dyDescent="0.25">
      <c r="A37" s="25">
        <v>3.7</v>
      </c>
      <c r="B37" s="44" t="s">
        <v>17</v>
      </c>
      <c r="C37" s="26" t="s">
        <v>7</v>
      </c>
      <c r="D37" s="26">
        <v>1</v>
      </c>
      <c r="E37" s="26">
        <v>2500</v>
      </c>
      <c r="F37" s="109">
        <v>2500</v>
      </c>
      <c r="G37" s="98"/>
      <c r="H37" s="99"/>
      <c r="I37" s="156"/>
      <c r="J37" s="163"/>
      <c r="K37" s="163">
        <f t="shared" si="0"/>
        <v>0</v>
      </c>
    </row>
    <row r="38" spans="1:11" x14ac:dyDescent="0.25">
      <c r="A38" s="26"/>
      <c r="B38" s="58"/>
      <c r="C38" s="26"/>
      <c r="D38" s="26"/>
      <c r="E38" s="26"/>
      <c r="F38" s="110">
        <v>23899.7</v>
      </c>
      <c r="G38" s="98"/>
      <c r="H38" s="99"/>
      <c r="I38" s="156"/>
      <c r="J38" s="163"/>
      <c r="K38" s="163">
        <f t="shared" si="0"/>
        <v>0</v>
      </c>
    </row>
    <row r="39" spans="1:11" x14ac:dyDescent="0.25">
      <c r="A39" s="27">
        <v>4</v>
      </c>
      <c r="B39" s="57" t="s">
        <v>13</v>
      </c>
      <c r="C39" s="26"/>
      <c r="D39" s="26"/>
      <c r="E39" s="26"/>
      <c r="F39" s="109"/>
      <c r="G39" s="98"/>
      <c r="H39" s="99"/>
      <c r="I39" s="156"/>
      <c r="J39" s="163"/>
      <c r="K39" s="163">
        <f t="shared" si="0"/>
        <v>0</v>
      </c>
    </row>
    <row r="40" spans="1:11" x14ac:dyDescent="0.25">
      <c r="A40" s="27"/>
      <c r="B40" s="59" t="s">
        <v>89</v>
      </c>
      <c r="C40" s="26"/>
      <c r="D40" s="26"/>
      <c r="E40" s="26"/>
      <c r="F40" s="109"/>
      <c r="G40" s="98"/>
      <c r="H40" s="99"/>
      <c r="I40" s="156"/>
      <c r="J40" s="163"/>
      <c r="K40" s="163">
        <f t="shared" si="0"/>
        <v>0</v>
      </c>
    </row>
    <row r="41" spans="1:11" ht="60" x14ac:dyDescent="0.25">
      <c r="A41" s="28">
        <v>4.0999999999999996</v>
      </c>
      <c r="B41" s="45" t="s">
        <v>86</v>
      </c>
      <c r="C41" s="29" t="s">
        <v>9</v>
      </c>
      <c r="D41" s="66">
        <f>0.1*C4*C5</f>
        <v>9.9759999999999991</v>
      </c>
      <c r="E41" s="26">
        <v>250</v>
      </c>
      <c r="F41" s="109">
        <v>7485</v>
      </c>
      <c r="G41" s="100"/>
      <c r="H41" s="99"/>
      <c r="I41" s="156"/>
      <c r="J41" s="163"/>
      <c r="K41" s="163">
        <f t="shared" si="0"/>
        <v>0</v>
      </c>
    </row>
    <row r="42" spans="1:11" ht="45" x14ac:dyDescent="0.25">
      <c r="A42" s="28">
        <v>4.2</v>
      </c>
      <c r="B42" s="46" t="s">
        <v>116</v>
      </c>
      <c r="C42" s="30" t="s">
        <v>9</v>
      </c>
      <c r="D42" s="85">
        <f>(C6*0.15*0.3)+(C6*0.2*0.15)-((C6/3)*((0.15*0.3)+(0.2*0.15))*0.15)</f>
        <v>2.9853749999999999</v>
      </c>
      <c r="E42" s="26">
        <v>250</v>
      </c>
      <c r="F42" s="109">
        <v>2242.5</v>
      </c>
      <c r="G42" s="100"/>
      <c r="H42" s="99"/>
      <c r="I42" s="156"/>
      <c r="J42" s="163"/>
      <c r="K42" s="163">
        <f t="shared" si="0"/>
        <v>0</v>
      </c>
    </row>
    <row r="43" spans="1:11" ht="45" x14ac:dyDescent="0.25">
      <c r="A43" s="28">
        <v>4.3</v>
      </c>
      <c r="B43" s="46" t="s">
        <v>112</v>
      </c>
      <c r="C43" s="30" t="s">
        <v>9</v>
      </c>
      <c r="D43" s="85">
        <f>(C6*0.15*0.15)-((C6/3)*0.15*0.15*0.15)</f>
        <v>0.89561249999999992</v>
      </c>
      <c r="E43" s="26">
        <v>250</v>
      </c>
      <c r="F43" s="109">
        <v>675</v>
      </c>
      <c r="G43" s="100"/>
      <c r="H43" s="99"/>
      <c r="I43" s="156"/>
      <c r="J43" s="163"/>
      <c r="K43" s="163">
        <f t="shared" si="0"/>
        <v>0</v>
      </c>
    </row>
    <row r="44" spans="1:11" ht="45" x14ac:dyDescent="0.25">
      <c r="A44" s="28">
        <v>4.4000000000000004</v>
      </c>
      <c r="B44" s="46" t="s">
        <v>113</v>
      </c>
      <c r="C44" s="30" t="s">
        <v>9</v>
      </c>
      <c r="D44" s="85">
        <f>(C6*0.15*0.15)-((C6/3)*0.15*0.15*0.15)</f>
        <v>0.89561249999999992</v>
      </c>
      <c r="E44" s="26">
        <v>250</v>
      </c>
      <c r="F44" s="109">
        <v>675</v>
      </c>
      <c r="G44" s="100"/>
      <c r="H44" s="99"/>
      <c r="I44" s="156"/>
      <c r="J44" s="163"/>
      <c r="K44" s="163">
        <f t="shared" si="0"/>
        <v>0</v>
      </c>
    </row>
    <row r="45" spans="1:11" ht="45" x14ac:dyDescent="0.25">
      <c r="A45" s="28">
        <v>4.5</v>
      </c>
      <c r="B45" s="46" t="s">
        <v>114</v>
      </c>
      <c r="C45" s="30" t="s">
        <v>9</v>
      </c>
      <c r="D45" s="85">
        <f>((0.15*0.3)+(3.9*0.15))*0.15*(C6/3)</f>
        <v>1.31985</v>
      </c>
      <c r="E45" s="26">
        <v>250</v>
      </c>
      <c r="F45" s="109">
        <v>990</v>
      </c>
      <c r="G45" s="100"/>
      <c r="H45" s="99"/>
      <c r="I45" s="156"/>
      <c r="J45" s="163"/>
      <c r="K45" s="163">
        <f t="shared" si="0"/>
        <v>0</v>
      </c>
    </row>
    <row r="46" spans="1:11" ht="30" x14ac:dyDescent="0.25">
      <c r="A46" s="28">
        <v>4.5999999999999996</v>
      </c>
      <c r="B46" s="121" t="s">
        <v>115</v>
      </c>
      <c r="C46" s="122" t="s">
        <v>9</v>
      </c>
      <c r="D46" s="122">
        <f>2*0.3*1.2*0.85</f>
        <v>0.61199999999999999</v>
      </c>
      <c r="E46" s="122">
        <v>250</v>
      </c>
      <c r="F46" s="123">
        <v>459</v>
      </c>
      <c r="G46" s="100"/>
      <c r="H46" s="99"/>
      <c r="I46" s="157">
        <f>F46</f>
        <v>459</v>
      </c>
      <c r="J46" s="163"/>
      <c r="K46" s="163">
        <f t="shared" si="0"/>
        <v>0</v>
      </c>
    </row>
    <row r="47" spans="1:11" ht="45" x14ac:dyDescent="0.25">
      <c r="A47" s="28">
        <v>4.7</v>
      </c>
      <c r="B47" s="121" t="s">
        <v>84</v>
      </c>
      <c r="C47" s="122" t="s">
        <v>9</v>
      </c>
      <c r="D47" s="124">
        <f>0.15*1.2*4</f>
        <v>0.72</v>
      </c>
      <c r="E47" s="122">
        <v>250</v>
      </c>
      <c r="F47" s="123">
        <v>540</v>
      </c>
      <c r="G47" s="100"/>
      <c r="H47" s="99"/>
      <c r="I47" s="157">
        <f>F47</f>
        <v>540</v>
      </c>
      <c r="J47" s="163"/>
      <c r="K47" s="163">
        <f t="shared" si="0"/>
        <v>0</v>
      </c>
    </row>
    <row r="48" spans="1:11" x14ac:dyDescent="0.25">
      <c r="A48" s="28"/>
      <c r="B48" s="59" t="s">
        <v>88</v>
      </c>
      <c r="C48" s="29"/>
      <c r="D48" s="65"/>
      <c r="E48" s="26"/>
      <c r="F48" s="109"/>
      <c r="G48" s="100"/>
      <c r="H48" s="99"/>
      <c r="I48" s="157">
        <f>F48</f>
        <v>0</v>
      </c>
      <c r="J48" s="163"/>
      <c r="K48" s="163">
        <f t="shared" si="0"/>
        <v>0</v>
      </c>
    </row>
    <row r="49" spans="1:11" ht="45" x14ac:dyDescent="0.25">
      <c r="A49" s="28">
        <v>4.8</v>
      </c>
      <c r="B49" s="125" t="s">
        <v>14</v>
      </c>
      <c r="C49" s="126" t="s">
        <v>9</v>
      </c>
      <c r="D49" s="127">
        <f>0.1*C12*C13</f>
        <v>12</v>
      </c>
      <c r="E49" s="126">
        <v>250</v>
      </c>
      <c r="F49" s="128">
        <v>9000</v>
      </c>
      <c r="G49" s="98" t="s">
        <v>156</v>
      </c>
      <c r="H49" s="99"/>
      <c r="I49" s="157">
        <f>F49/2</f>
        <v>4500</v>
      </c>
      <c r="J49" s="163"/>
      <c r="K49" s="163">
        <f t="shared" si="0"/>
        <v>0</v>
      </c>
    </row>
    <row r="50" spans="1:11" ht="30" x14ac:dyDescent="0.25">
      <c r="A50" s="28">
        <v>4.9000000000000004</v>
      </c>
      <c r="B50" s="125" t="s">
        <v>15</v>
      </c>
      <c r="C50" s="126" t="s">
        <v>9</v>
      </c>
      <c r="D50" s="127">
        <f>(0.3*0.3*C12)+(0.3*0.3*(C13-0.6-0.3))</f>
        <v>1.9889999999999999</v>
      </c>
      <c r="E50" s="126">
        <v>250</v>
      </c>
      <c r="F50" s="128">
        <v>1492.5</v>
      </c>
      <c r="G50" s="98" t="s">
        <v>156</v>
      </c>
      <c r="H50" s="99"/>
      <c r="I50" s="157">
        <f>F50/2</f>
        <v>746.25</v>
      </c>
      <c r="J50" s="163"/>
      <c r="K50" s="163">
        <f t="shared" si="0"/>
        <v>0</v>
      </c>
    </row>
    <row r="51" spans="1:11" ht="30" x14ac:dyDescent="0.25">
      <c r="A51" s="32">
        <v>4.0999999999999996</v>
      </c>
      <c r="B51" s="125" t="s">
        <v>16</v>
      </c>
      <c r="C51" s="126" t="s">
        <v>9</v>
      </c>
      <c r="D51" s="127">
        <f>(C13-0.6-0.3)*0.3*0.3</f>
        <v>0.6389999999999999</v>
      </c>
      <c r="E51" s="126">
        <v>250</v>
      </c>
      <c r="F51" s="128">
        <v>480</v>
      </c>
      <c r="G51" s="98" t="s">
        <v>156</v>
      </c>
      <c r="H51" s="99"/>
      <c r="I51" s="157">
        <f>F51/2</f>
        <v>240</v>
      </c>
      <c r="J51" s="163"/>
      <c r="K51" s="163">
        <f t="shared" si="0"/>
        <v>0</v>
      </c>
    </row>
    <row r="52" spans="1:11" ht="75" x14ac:dyDescent="0.25">
      <c r="A52" s="28">
        <v>4.1100000000000003</v>
      </c>
      <c r="B52" s="125" t="s">
        <v>60</v>
      </c>
      <c r="C52" s="126" t="s">
        <v>9</v>
      </c>
      <c r="D52" s="127">
        <f>0.3*0.3*C12</f>
        <v>1.3499999999999999</v>
      </c>
      <c r="E52" s="126">
        <v>250</v>
      </c>
      <c r="F52" s="128">
        <v>1012.5</v>
      </c>
      <c r="G52" s="98" t="s">
        <v>156</v>
      </c>
      <c r="H52" s="99"/>
      <c r="I52" s="157">
        <f>F52/2</f>
        <v>506.25</v>
      </c>
      <c r="J52" s="163"/>
      <c r="K52" s="163">
        <f t="shared" si="0"/>
        <v>0</v>
      </c>
    </row>
    <row r="53" spans="1:11" ht="45" x14ac:dyDescent="0.25">
      <c r="A53" s="32">
        <v>4.12</v>
      </c>
      <c r="B53" s="125" t="s">
        <v>66</v>
      </c>
      <c r="C53" s="126" t="s">
        <v>27</v>
      </c>
      <c r="D53" s="126">
        <v>1</v>
      </c>
      <c r="E53" s="126">
        <v>250</v>
      </c>
      <c r="F53" s="128">
        <v>250</v>
      </c>
      <c r="G53" s="98" t="s">
        <v>156</v>
      </c>
      <c r="H53" s="99"/>
      <c r="I53" s="157">
        <f>F53</f>
        <v>250</v>
      </c>
      <c r="J53" s="163"/>
      <c r="K53" s="163">
        <f t="shared" si="0"/>
        <v>0</v>
      </c>
    </row>
    <row r="54" spans="1:11" x14ac:dyDescent="0.25">
      <c r="A54" s="28"/>
      <c r="B54" s="59" t="s">
        <v>90</v>
      </c>
      <c r="C54" s="29"/>
      <c r="D54" s="65"/>
      <c r="E54" s="26"/>
      <c r="F54" s="109"/>
      <c r="G54" s="100"/>
      <c r="H54" s="99"/>
      <c r="I54" s="156"/>
      <c r="J54" s="163"/>
      <c r="K54" s="163">
        <f t="shared" si="0"/>
        <v>0</v>
      </c>
    </row>
    <row r="55" spans="1:11" x14ac:dyDescent="0.25">
      <c r="A55" s="28">
        <v>4.13</v>
      </c>
      <c r="B55" s="47" t="s">
        <v>91</v>
      </c>
      <c r="C55" s="29" t="s">
        <v>9</v>
      </c>
      <c r="D55" s="66">
        <f>((0.3*0.15)+(1*0.15))*0.3*(C10/2)</f>
        <v>2.3253749999999997</v>
      </c>
      <c r="E55" s="31">
        <v>250</v>
      </c>
      <c r="F55" s="111">
        <v>1747.5</v>
      </c>
      <c r="G55" s="100"/>
      <c r="H55" s="99"/>
      <c r="I55" s="156"/>
      <c r="J55" s="163"/>
      <c r="K55" s="163">
        <f t="shared" si="0"/>
        <v>0</v>
      </c>
    </row>
    <row r="56" spans="1:11" x14ac:dyDescent="0.25">
      <c r="A56" s="28">
        <v>4.1399999999999997</v>
      </c>
      <c r="B56" s="47" t="s">
        <v>92</v>
      </c>
      <c r="C56" s="31" t="s">
        <v>9</v>
      </c>
      <c r="D56" s="66">
        <f>(0.15*0.3*C10)-((C10/2)*0.15*0.3*0.3)</f>
        <v>3.0408749999999998</v>
      </c>
      <c r="E56" s="31">
        <v>250</v>
      </c>
      <c r="F56" s="111">
        <v>2280</v>
      </c>
      <c r="G56" s="100"/>
      <c r="H56" s="99"/>
      <c r="I56" s="156"/>
      <c r="J56" s="163"/>
      <c r="K56" s="163">
        <f t="shared" si="0"/>
        <v>0</v>
      </c>
    </row>
    <row r="57" spans="1:11" x14ac:dyDescent="0.25">
      <c r="A57" s="28"/>
      <c r="B57" s="59" t="s">
        <v>93</v>
      </c>
      <c r="C57" s="31"/>
      <c r="D57" s="65"/>
      <c r="E57" s="31"/>
      <c r="F57" s="111"/>
      <c r="G57" s="100"/>
      <c r="H57" s="99"/>
      <c r="I57" s="156"/>
      <c r="J57" s="163"/>
      <c r="K57" s="163">
        <f t="shared" si="0"/>
        <v>0</v>
      </c>
    </row>
    <row r="58" spans="1:11" x14ac:dyDescent="0.25">
      <c r="A58" s="28">
        <v>4.1500000000000004</v>
      </c>
      <c r="B58" s="121" t="s">
        <v>57</v>
      </c>
      <c r="C58" s="122" t="s">
        <v>9</v>
      </c>
      <c r="D58" s="129">
        <f>0.9*0.4*0.4*2</f>
        <v>0.28800000000000003</v>
      </c>
      <c r="E58" s="122">
        <v>250</v>
      </c>
      <c r="F58" s="123">
        <v>217.5</v>
      </c>
      <c r="G58" s="100"/>
      <c r="H58" s="99"/>
      <c r="I58" s="157">
        <f>F58</f>
        <v>217.5</v>
      </c>
      <c r="J58" s="163"/>
      <c r="K58" s="163">
        <f t="shared" si="0"/>
        <v>0</v>
      </c>
    </row>
    <row r="59" spans="1:11" x14ac:dyDescent="0.25">
      <c r="A59" s="32">
        <v>4.16</v>
      </c>
      <c r="B59" s="43" t="s">
        <v>18</v>
      </c>
      <c r="C59" s="26" t="s">
        <v>7</v>
      </c>
      <c r="D59" s="26">
        <v>1</v>
      </c>
      <c r="E59" s="26">
        <v>250</v>
      </c>
      <c r="F59" s="109">
        <v>250</v>
      </c>
      <c r="G59" s="98"/>
      <c r="H59" s="99"/>
      <c r="I59" s="157"/>
      <c r="J59" s="163"/>
      <c r="K59" s="163">
        <f t="shared" si="0"/>
        <v>0</v>
      </c>
    </row>
    <row r="60" spans="1:11" x14ac:dyDescent="0.25">
      <c r="A60" s="26"/>
      <c r="B60" s="58"/>
      <c r="C60" s="26"/>
      <c r="D60" s="26"/>
      <c r="E60" s="26"/>
      <c r="F60" s="110">
        <v>29796.5</v>
      </c>
      <c r="G60" s="98"/>
      <c r="H60" s="99"/>
      <c r="I60" s="156"/>
      <c r="J60" s="163"/>
      <c r="K60" s="163">
        <f t="shared" si="0"/>
        <v>0</v>
      </c>
    </row>
    <row r="61" spans="1:11" x14ac:dyDescent="0.25">
      <c r="A61" s="27">
        <v>5</v>
      </c>
      <c r="B61" s="62" t="s">
        <v>48</v>
      </c>
      <c r="C61" s="26"/>
      <c r="D61" s="26"/>
      <c r="E61" s="26"/>
      <c r="F61" s="109"/>
      <c r="G61" s="98"/>
      <c r="H61" s="99"/>
      <c r="I61" s="156"/>
      <c r="J61" s="163"/>
      <c r="K61" s="163">
        <f t="shared" si="0"/>
        <v>0</v>
      </c>
    </row>
    <row r="62" spans="1:11" x14ac:dyDescent="0.25">
      <c r="A62" s="27"/>
      <c r="B62" s="59" t="s">
        <v>89</v>
      </c>
      <c r="C62" s="26"/>
      <c r="D62" s="26"/>
      <c r="E62" s="26"/>
      <c r="F62" s="109"/>
      <c r="G62" s="98"/>
      <c r="H62" s="99"/>
      <c r="I62" s="156"/>
      <c r="J62" s="163"/>
      <c r="K62" s="163">
        <f t="shared" si="0"/>
        <v>0</v>
      </c>
    </row>
    <row r="63" spans="1:11" ht="60" x14ac:dyDescent="0.25">
      <c r="A63" s="26">
        <v>5.0999999999999996</v>
      </c>
      <c r="B63" s="43" t="s">
        <v>54</v>
      </c>
      <c r="C63" s="26" t="s">
        <v>27</v>
      </c>
      <c r="D63" s="67">
        <f>C7</f>
        <v>10</v>
      </c>
      <c r="E63" s="26">
        <v>250</v>
      </c>
      <c r="F63" s="109">
        <v>2500</v>
      </c>
      <c r="G63" s="98"/>
      <c r="H63" s="99"/>
      <c r="I63" s="156"/>
      <c r="J63" s="163"/>
      <c r="K63" s="163">
        <f t="shared" si="0"/>
        <v>0</v>
      </c>
    </row>
    <row r="64" spans="1:11" ht="45" x14ac:dyDescent="0.25">
      <c r="A64" s="26">
        <v>5.2</v>
      </c>
      <c r="B64" s="125" t="s">
        <v>87</v>
      </c>
      <c r="C64" s="126" t="s">
        <v>20</v>
      </c>
      <c r="D64" s="130">
        <f>2*4.075</f>
        <v>8.15</v>
      </c>
      <c r="E64" s="126">
        <v>250</v>
      </c>
      <c r="F64" s="128">
        <v>2037.5</v>
      </c>
      <c r="G64" s="98" t="s">
        <v>157</v>
      </c>
      <c r="H64" s="99"/>
      <c r="I64" s="157">
        <f>F64/4</f>
        <v>509.375</v>
      </c>
      <c r="J64" s="163"/>
      <c r="K64" s="163">
        <f t="shared" si="0"/>
        <v>0</v>
      </c>
    </row>
    <row r="65" spans="1:11" x14ac:dyDescent="0.25">
      <c r="A65" s="27"/>
      <c r="B65" s="59" t="s">
        <v>90</v>
      </c>
      <c r="C65" s="26"/>
      <c r="D65" s="26"/>
      <c r="E65" s="26"/>
      <c r="F65" s="109"/>
      <c r="G65" s="98"/>
      <c r="H65" s="99"/>
      <c r="I65" s="156"/>
      <c r="J65" s="163"/>
      <c r="K65" s="163">
        <f t="shared" si="0"/>
        <v>0</v>
      </c>
    </row>
    <row r="66" spans="1:11" ht="60" x14ac:dyDescent="0.25">
      <c r="A66" s="26">
        <v>5.3</v>
      </c>
      <c r="B66" s="43" t="s">
        <v>31</v>
      </c>
      <c r="C66" s="26" t="s">
        <v>20</v>
      </c>
      <c r="D66" s="84">
        <f>C10</f>
        <v>79.5</v>
      </c>
      <c r="E66" s="26">
        <v>250</v>
      </c>
      <c r="F66" s="109">
        <v>19875</v>
      </c>
      <c r="G66" s="98"/>
      <c r="H66" s="99"/>
      <c r="I66" s="156"/>
      <c r="J66" s="163"/>
      <c r="K66" s="163">
        <f t="shared" si="0"/>
        <v>0</v>
      </c>
    </row>
    <row r="67" spans="1:11" x14ac:dyDescent="0.25">
      <c r="A67" s="27"/>
      <c r="B67" s="59" t="s">
        <v>93</v>
      </c>
      <c r="C67" s="26"/>
      <c r="D67" s="26"/>
      <c r="E67" s="26"/>
      <c r="F67" s="109"/>
      <c r="G67" s="98"/>
      <c r="H67" s="99"/>
      <c r="I67" s="156"/>
      <c r="J67" s="163"/>
      <c r="K67" s="163">
        <f t="shared" si="0"/>
        <v>0</v>
      </c>
    </row>
    <row r="68" spans="1:11" ht="60" x14ac:dyDescent="0.25">
      <c r="A68" s="26">
        <v>5.4</v>
      </c>
      <c r="B68" s="43" t="s">
        <v>31</v>
      </c>
      <c r="C68" s="26" t="s">
        <v>20</v>
      </c>
      <c r="D68" s="67">
        <f>C10</f>
        <v>79.5</v>
      </c>
      <c r="E68" s="26">
        <v>250</v>
      </c>
      <c r="F68" s="109">
        <v>19875</v>
      </c>
      <c r="G68" s="98"/>
      <c r="H68" s="99"/>
      <c r="I68" s="156"/>
      <c r="J68" s="163"/>
      <c r="K68" s="163">
        <f t="shared" si="0"/>
        <v>0</v>
      </c>
    </row>
    <row r="69" spans="1:11" ht="45" x14ac:dyDescent="0.25">
      <c r="A69" s="26">
        <v>5.5</v>
      </c>
      <c r="B69" s="121" t="s">
        <v>51</v>
      </c>
      <c r="C69" s="122" t="s">
        <v>27</v>
      </c>
      <c r="D69" s="122">
        <v>2</v>
      </c>
      <c r="E69" s="122">
        <v>2500</v>
      </c>
      <c r="F69" s="123">
        <v>5000</v>
      </c>
      <c r="G69" s="98"/>
      <c r="H69" s="99"/>
      <c r="I69" s="157">
        <f>F69</f>
        <v>5000</v>
      </c>
      <c r="J69" s="163"/>
      <c r="K69" s="163">
        <f t="shared" si="0"/>
        <v>0</v>
      </c>
    </row>
    <row r="70" spans="1:11" s="81" customFormat="1" x14ac:dyDescent="0.25">
      <c r="A70" s="30"/>
      <c r="B70" s="46"/>
      <c r="C70" s="30"/>
      <c r="D70" s="80"/>
      <c r="E70" s="30"/>
      <c r="F70" s="116">
        <v>49287.5</v>
      </c>
      <c r="G70" s="101"/>
      <c r="H70" s="102"/>
      <c r="I70" s="158"/>
      <c r="J70" s="164"/>
      <c r="K70" s="163">
        <f t="shared" si="0"/>
        <v>0</v>
      </c>
    </row>
    <row r="71" spans="1:11" customFormat="1" x14ac:dyDescent="0.25">
      <c r="A71" s="48">
        <v>6</v>
      </c>
      <c r="B71" s="86" t="s">
        <v>56</v>
      </c>
      <c r="C71" s="87"/>
      <c r="D71" s="87"/>
      <c r="E71" s="49"/>
      <c r="F71" s="112"/>
      <c r="G71" s="103"/>
      <c r="H71" s="104"/>
      <c r="I71" s="159"/>
      <c r="J71" s="165"/>
      <c r="K71" s="163">
        <f t="shared" si="0"/>
        <v>0</v>
      </c>
    </row>
    <row r="72" spans="1:11" customFormat="1" x14ac:dyDescent="0.25">
      <c r="A72" s="49"/>
      <c r="B72" s="88" t="s">
        <v>117</v>
      </c>
      <c r="C72" s="87"/>
      <c r="D72" s="87"/>
      <c r="E72" s="49"/>
      <c r="F72" s="112"/>
      <c r="G72" s="103"/>
      <c r="H72" s="104"/>
      <c r="I72" s="159"/>
      <c r="J72" s="165"/>
      <c r="K72" s="163">
        <f t="shared" si="0"/>
        <v>0</v>
      </c>
    </row>
    <row r="73" spans="1:11" customFormat="1" x14ac:dyDescent="0.25">
      <c r="A73" s="49">
        <v>6.1</v>
      </c>
      <c r="B73" s="46" t="s">
        <v>118</v>
      </c>
      <c r="C73" s="87" t="s">
        <v>9</v>
      </c>
      <c r="D73" s="85">
        <f>(3.7*0.15*C6)-(0.15*0.15*C6*2)-((C6/3)*3.7*0.15*0.15)</f>
        <v>20.206274999999998</v>
      </c>
      <c r="E73" s="49">
        <v>150</v>
      </c>
      <c r="F73" s="112">
        <v>9094.5</v>
      </c>
      <c r="G73" s="103"/>
      <c r="H73" s="104"/>
      <c r="I73" s="159"/>
      <c r="J73" s="165"/>
      <c r="K73" s="163">
        <f t="shared" si="0"/>
        <v>0</v>
      </c>
    </row>
    <row r="74" spans="1:11" customFormat="1" ht="30" x14ac:dyDescent="0.25">
      <c r="A74" s="49">
        <v>6.2</v>
      </c>
      <c r="B74" s="46" t="s">
        <v>59</v>
      </c>
      <c r="C74" s="87" t="s">
        <v>9</v>
      </c>
      <c r="D74" s="85">
        <f>4*4*0.15</f>
        <v>2.4</v>
      </c>
      <c r="E74" s="49">
        <v>150</v>
      </c>
      <c r="F74" s="112">
        <v>1080</v>
      </c>
      <c r="G74" s="103"/>
      <c r="H74" s="104"/>
      <c r="I74" s="159"/>
      <c r="J74" s="165"/>
      <c r="K74" s="163">
        <f t="shared" si="0"/>
        <v>0</v>
      </c>
    </row>
    <row r="75" spans="1:11" customFormat="1" x14ac:dyDescent="0.25">
      <c r="A75" s="49"/>
      <c r="B75" s="88" t="s">
        <v>120</v>
      </c>
      <c r="C75" s="87"/>
      <c r="D75" s="87"/>
      <c r="E75" s="49"/>
      <c r="F75" s="112"/>
      <c r="G75" s="103"/>
      <c r="H75" s="104"/>
      <c r="I75" s="159"/>
      <c r="J75" s="165"/>
      <c r="K75" s="163">
        <f t="shared" si="0"/>
        <v>0</v>
      </c>
    </row>
    <row r="76" spans="1:11" customFormat="1" x14ac:dyDescent="0.25">
      <c r="A76" s="49">
        <v>6.3</v>
      </c>
      <c r="B76" s="46" t="s">
        <v>119</v>
      </c>
      <c r="C76" s="87" t="s">
        <v>9</v>
      </c>
      <c r="D76" s="85">
        <f>(C10*1*0.15)-((C10/2)*0.15*1*0.3)</f>
        <v>10.136249999999999</v>
      </c>
      <c r="E76" s="49">
        <v>150</v>
      </c>
      <c r="F76" s="112">
        <v>4563</v>
      </c>
      <c r="G76" s="103"/>
      <c r="H76" s="104"/>
      <c r="I76" s="159"/>
      <c r="J76" s="165"/>
      <c r="K76" s="163">
        <f t="shared" si="0"/>
        <v>0</v>
      </c>
    </row>
    <row r="77" spans="1:11" customFormat="1" x14ac:dyDescent="0.25">
      <c r="A77" s="49"/>
      <c r="B77" s="88" t="s">
        <v>93</v>
      </c>
      <c r="C77" s="87"/>
      <c r="D77" s="85"/>
      <c r="E77" s="49"/>
      <c r="F77" s="112"/>
      <c r="G77" s="103"/>
      <c r="H77" s="104"/>
      <c r="I77" s="159"/>
      <c r="J77" s="165"/>
      <c r="K77" s="163">
        <f t="shared" si="0"/>
        <v>0</v>
      </c>
    </row>
    <row r="78" spans="1:11" customFormat="1" ht="45" x14ac:dyDescent="0.25">
      <c r="A78" s="49">
        <v>6.4</v>
      </c>
      <c r="B78" s="46" t="s">
        <v>131</v>
      </c>
      <c r="C78" s="87" t="s">
        <v>9</v>
      </c>
      <c r="D78" s="85">
        <f>((1.75*3)+(0.3*2))*2*0.15</f>
        <v>1.7549999999999999</v>
      </c>
      <c r="E78" s="49">
        <v>150</v>
      </c>
      <c r="F78" s="112">
        <v>792</v>
      </c>
      <c r="G78" s="103"/>
      <c r="H78" s="104"/>
      <c r="I78" s="159"/>
      <c r="J78" s="165"/>
      <c r="K78" s="163">
        <f t="shared" si="0"/>
        <v>0</v>
      </c>
    </row>
    <row r="79" spans="1:11" ht="15.75" customHeight="1" x14ac:dyDescent="0.25">
      <c r="A79" s="26"/>
      <c r="B79" s="58"/>
      <c r="C79" s="26"/>
      <c r="D79" s="26"/>
      <c r="E79" s="26"/>
      <c r="F79" s="110">
        <v>15529.5</v>
      </c>
      <c r="G79" s="98"/>
      <c r="H79" s="99"/>
      <c r="I79" s="156"/>
      <c r="J79" s="163"/>
      <c r="K79" s="163">
        <f t="shared" si="0"/>
        <v>0</v>
      </c>
    </row>
    <row r="80" spans="1:11" x14ac:dyDescent="0.25">
      <c r="A80" s="27">
        <v>7</v>
      </c>
      <c r="B80" s="57" t="s">
        <v>21</v>
      </c>
      <c r="C80" s="26"/>
      <c r="D80" s="26"/>
      <c r="E80" s="26"/>
      <c r="F80" s="109"/>
      <c r="G80" s="98"/>
      <c r="H80" s="99"/>
      <c r="I80" s="156"/>
      <c r="J80" s="163"/>
      <c r="K80" s="163">
        <f t="shared" si="0"/>
        <v>0</v>
      </c>
    </row>
    <row r="81" spans="1:11" customFormat="1" x14ac:dyDescent="0.25">
      <c r="A81" s="49"/>
      <c r="B81" s="60" t="s">
        <v>89</v>
      </c>
      <c r="C81" s="49"/>
      <c r="D81" s="49"/>
      <c r="E81" s="49"/>
      <c r="F81" s="112"/>
      <c r="G81" s="103"/>
      <c r="H81" s="104"/>
      <c r="I81" s="159"/>
      <c r="J81" s="165"/>
      <c r="K81" s="163">
        <f t="shared" si="0"/>
        <v>0</v>
      </c>
    </row>
    <row r="82" spans="1:11" customFormat="1" ht="30" x14ac:dyDescent="0.25">
      <c r="A82" s="49">
        <v>7.1</v>
      </c>
      <c r="B82" s="43" t="s">
        <v>64</v>
      </c>
      <c r="C82" s="49" t="s">
        <v>12</v>
      </c>
      <c r="D82" s="67">
        <f>(C6*3.7*2)+(C6*0.15)+(5*0.15*3.7)</f>
        <v>319.12</v>
      </c>
      <c r="E82" s="49">
        <v>25</v>
      </c>
      <c r="F82" s="112">
        <v>15956</v>
      </c>
      <c r="G82" s="103"/>
      <c r="H82" s="104"/>
      <c r="I82" s="159"/>
      <c r="J82" s="165"/>
      <c r="K82" s="163">
        <f t="shared" si="0"/>
        <v>0</v>
      </c>
    </row>
    <row r="83" spans="1:11" customFormat="1" ht="30" x14ac:dyDescent="0.25">
      <c r="A83" s="49">
        <v>7.2</v>
      </c>
      <c r="B83" s="43" t="s">
        <v>61</v>
      </c>
      <c r="C83" s="49" t="s">
        <v>12</v>
      </c>
      <c r="D83" s="67">
        <f>(C9*1.5*2)+(C9*0.15)+(4*0.15*1.5)</f>
        <v>51.3</v>
      </c>
      <c r="E83" s="49">
        <v>25</v>
      </c>
      <c r="F83" s="112">
        <v>2565</v>
      </c>
      <c r="G83" s="103"/>
      <c r="H83" s="104"/>
      <c r="I83" s="159"/>
      <c r="J83" s="165"/>
      <c r="K83" s="163">
        <f t="shared" si="0"/>
        <v>0</v>
      </c>
    </row>
    <row r="84" spans="1:11" customFormat="1" x14ac:dyDescent="0.25">
      <c r="A84" s="49"/>
      <c r="B84" s="60" t="s">
        <v>90</v>
      </c>
      <c r="C84" s="49"/>
      <c r="D84" s="68"/>
      <c r="E84" s="49"/>
      <c r="F84" s="112"/>
      <c r="G84" s="103"/>
      <c r="H84" s="104"/>
      <c r="I84" s="159"/>
      <c r="J84" s="165"/>
      <c r="K84" s="163">
        <f t="shared" ref="K84:K147" si="1">+J84*E84</f>
        <v>0</v>
      </c>
    </row>
    <row r="85" spans="1:11" customFormat="1" x14ac:dyDescent="0.25">
      <c r="A85" s="49">
        <v>7.3</v>
      </c>
      <c r="B85" s="43" t="s">
        <v>124</v>
      </c>
      <c r="C85" s="49" t="s">
        <v>12</v>
      </c>
      <c r="D85" s="67">
        <f>(C10*1*2)+(C10*0.15)+(6*1*0.15)</f>
        <v>171.82500000000002</v>
      </c>
      <c r="E85" s="49">
        <v>25</v>
      </c>
      <c r="F85" s="112">
        <v>8591.5</v>
      </c>
      <c r="G85" s="103"/>
      <c r="H85" s="104"/>
      <c r="I85" s="159"/>
      <c r="J85" s="165"/>
      <c r="K85" s="163">
        <f t="shared" si="1"/>
        <v>0</v>
      </c>
    </row>
    <row r="86" spans="1:11" customFormat="1" x14ac:dyDescent="0.25">
      <c r="A86" s="49"/>
      <c r="B86" s="88" t="s">
        <v>93</v>
      </c>
      <c r="C86" s="87"/>
      <c r="D86" s="85"/>
      <c r="E86" s="49"/>
      <c r="F86" s="112"/>
      <c r="G86" s="103"/>
      <c r="H86" s="104"/>
      <c r="I86" s="159"/>
      <c r="J86" s="165"/>
      <c r="K86" s="163">
        <f t="shared" si="1"/>
        <v>0</v>
      </c>
    </row>
    <row r="87" spans="1:11" customFormat="1" ht="45" x14ac:dyDescent="0.25">
      <c r="A87" s="49">
        <v>7.4</v>
      </c>
      <c r="B87" s="46" t="s">
        <v>131</v>
      </c>
      <c r="C87" s="87" t="s">
        <v>12</v>
      </c>
      <c r="D87" s="85">
        <v>12.58</v>
      </c>
      <c r="E87" s="49">
        <v>25</v>
      </c>
      <c r="F87" s="112">
        <v>629</v>
      </c>
      <c r="G87" s="103"/>
      <c r="H87" s="104"/>
      <c r="I87" s="159"/>
      <c r="J87" s="165"/>
      <c r="K87" s="163">
        <f t="shared" si="1"/>
        <v>0</v>
      </c>
    </row>
    <row r="88" spans="1:11" x14ac:dyDescent="0.25">
      <c r="A88" s="26"/>
      <c r="B88" s="58"/>
      <c r="C88" s="26"/>
      <c r="D88" s="26"/>
      <c r="E88" s="26"/>
      <c r="F88" s="110">
        <v>27741.5</v>
      </c>
      <c r="G88" s="98"/>
      <c r="H88" s="99"/>
      <c r="I88" s="156"/>
      <c r="J88" s="163"/>
      <c r="K88" s="163">
        <f t="shared" si="1"/>
        <v>0</v>
      </c>
    </row>
    <row r="89" spans="1:11" x14ac:dyDescent="0.25">
      <c r="A89" s="27">
        <v>8</v>
      </c>
      <c r="B89" s="57" t="s">
        <v>22</v>
      </c>
      <c r="C89" s="26"/>
      <c r="D89" s="26"/>
      <c r="E89" s="26"/>
      <c r="F89" s="109"/>
      <c r="G89" s="98"/>
      <c r="H89" s="99"/>
      <c r="I89" s="156"/>
      <c r="J89" s="163"/>
      <c r="K89" s="163">
        <f t="shared" si="1"/>
        <v>0</v>
      </c>
    </row>
    <row r="90" spans="1:11" customFormat="1" x14ac:dyDescent="0.25">
      <c r="A90" s="49"/>
      <c r="B90" s="60" t="s">
        <v>94</v>
      </c>
      <c r="C90" s="49"/>
      <c r="D90" s="49"/>
      <c r="E90" s="49"/>
      <c r="F90" s="112"/>
      <c r="G90" s="103"/>
      <c r="H90" s="104"/>
      <c r="I90" s="159"/>
      <c r="J90" s="165"/>
      <c r="K90" s="163">
        <f t="shared" si="1"/>
        <v>0</v>
      </c>
    </row>
    <row r="91" spans="1:11" customFormat="1" ht="30" x14ac:dyDescent="0.25">
      <c r="A91" s="49">
        <v>8.1</v>
      </c>
      <c r="B91" s="121" t="s">
        <v>65</v>
      </c>
      <c r="C91" s="49" t="s">
        <v>12</v>
      </c>
      <c r="D91" s="67">
        <f>(C6*3.7*2)+(C6*0.15)+(5*0.15*3.7)</f>
        <v>319.12</v>
      </c>
      <c r="E91" s="49">
        <v>60</v>
      </c>
      <c r="F91" s="112">
        <v>38294.400000000001</v>
      </c>
      <c r="G91" s="103"/>
      <c r="H91" s="104"/>
      <c r="I91" s="160">
        <f>F91</f>
        <v>38294.400000000001</v>
      </c>
      <c r="J91" s="165"/>
      <c r="K91" s="163">
        <f t="shared" si="1"/>
        <v>0</v>
      </c>
    </row>
    <row r="92" spans="1:11" customFormat="1" ht="30" x14ac:dyDescent="0.25">
      <c r="A92" s="49">
        <v>8.1999999999999993</v>
      </c>
      <c r="B92" s="121" t="s">
        <v>62</v>
      </c>
      <c r="C92" s="49" t="s">
        <v>12</v>
      </c>
      <c r="D92" s="67">
        <f>(C9*1.5*2)+(C9*0.15)+(4*0.15*1.5)</f>
        <v>51.3</v>
      </c>
      <c r="E92" s="49">
        <v>60</v>
      </c>
      <c r="F92" s="112">
        <v>6156</v>
      </c>
      <c r="G92" s="103"/>
      <c r="H92" s="104"/>
      <c r="I92" s="160">
        <f t="shared" ref="I92:I109" si="2">F92</f>
        <v>6156</v>
      </c>
      <c r="J92" s="165"/>
      <c r="K92" s="163">
        <f t="shared" si="1"/>
        <v>0</v>
      </c>
    </row>
    <row r="93" spans="1:11" customFormat="1" x14ac:dyDescent="0.25">
      <c r="A93" s="49"/>
      <c r="B93" s="60" t="s">
        <v>95</v>
      </c>
      <c r="C93" s="49"/>
      <c r="D93" s="49"/>
      <c r="E93" s="49"/>
      <c r="F93" s="112"/>
      <c r="G93" s="103"/>
      <c r="H93" s="104"/>
      <c r="I93" s="160">
        <f t="shared" si="2"/>
        <v>0</v>
      </c>
      <c r="J93" s="165"/>
      <c r="K93" s="163">
        <f t="shared" si="1"/>
        <v>0</v>
      </c>
    </row>
    <row r="94" spans="1:11" ht="30" x14ac:dyDescent="0.25">
      <c r="A94" s="26">
        <v>8.3000000000000007</v>
      </c>
      <c r="B94" s="132" t="s">
        <v>23</v>
      </c>
      <c r="C94" s="26" t="s">
        <v>7</v>
      </c>
      <c r="D94" s="52">
        <v>1</v>
      </c>
      <c r="E94" s="26">
        <v>500</v>
      </c>
      <c r="F94" s="109">
        <v>500</v>
      </c>
      <c r="G94" s="98"/>
      <c r="H94" s="99"/>
      <c r="I94" s="160">
        <f t="shared" si="2"/>
        <v>500</v>
      </c>
      <c r="J94" s="163"/>
      <c r="K94" s="163">
        <f t="shared" si="1"/>
        <v>0</v>
      </c>
    </row>
    <row r="95" spans="1:11" x14ac:dyDescent="0.25">
      <c r="A95" s="26">
        <v>8.4</v>
      </c>
      <c r="B95" s="131" t="s">
        <v>69</v>
      </c>
      <c r="C95" s="26" t="s">
        <v>7</v>
      </c>
      <c r="D95" s="52">
        <v>1</v>
      </c>
      <c r="E95" s="33">
        <v>500</v>
      </c>
      <c r="F95" s="113">
        <v>500</v>
      </c>
      <c r="G95" s="98"/>
      <c r="H95" s="99"/>
      <c r="I95" s="160">
        <f t="shared" si="2"/>
        <v>500</v>
      </c>
      <c r="J95" s="163"/>
      <c r="K95" s="163">
        <f t="shared" si="1"/>
        <v>0</v>
      </c>
    </row>
    <row r="96" spans="1:11" ht="30" x14ac:dyDescent="0.25">
      <c r="A96" s="26">
        <v>8.5</v>
      </c>
      <c r="B96" s="131" t="s">
        <v>81</v>
      </c>
      <c r="C96" s="33" t="s">
        <v>7</v>
      </c>
      <c r="D96" s="53">
        <v>1</v>
      </c>
      <c r="E96" s="33">
        <v>500</v>
      </c>
      <c r="F96" s="113">
        <v>500</v>
      </c>
      <c r="G96" s="98"/>
      <c r="H96" s="99"/>
      <c r="I96" s="160"/>
      <c r="J96" s="163"/>
      <c r="K96" s="163">
        <f t="shared" si="1"/>
        <v>0</v>
      </c>
    </row>
    <row r="97" spans="1:11" ht="30" x14ac:dyDescent="0.25">
      <c r="A97" s="26">
        <v>8.6</v>
      </c>
      <c r="B97" s="131" t="s">
        <v>80</v>
      </c>
      <c r="C97" s="33" t="s">
        <v>7</v>
      </c>
      <c r="D97" s="53">
        <v>2</v>
      </c>
      <c r="E97" s="33">
        <v>500</v>
      </c>
      <c r="F97" s="113">
        <v>1000</v>
      </c>
      <c r="G97" s="98"/>
      <c r="H97" s="99"/>
      <c r="I97" s="160">
        <f t="shared" si="2"/>
        <v>1000</v>
      </c>
      <c r="J97" s="163"/>
      <c r="K97" s="163">
        <f t="shared" si="1"/>
        <v>0</v>
      </c>
    </row>
    <row r="98" spans="1:11" customFormat="1" x14ac:dyDescent="0.25">
      <c r="A98" s="49"/>
      <c r="B98" s="60" t="s">
        <v>90</v>
      </c>
      <c r="C98" s="49"/>
      <c r="D98" s="68"/>
      <c r="E98" s="49"/>
      <c r="F98" s="112"/>
      <c r="G98" s="103"/>
      <c r="H98" s="104"/>
      <c r="I98" s="160">
        <f t="shared" si="2"/>
        <v>0</v>
      </c>
      <c r="J98" s="165"/>
      <c r="K98" s="163">
        <f t="shared" si="1"/>
        <v>0</v>
      </c>
    </row>
    <row r="99" spans="1:11" customFormat="1" ht="30" x14ac:dyDescent="0.25">
      <c r="A99" s="49">
        <v>8.6999999999999993</v>
      </c>
      <c r="B99" s="121" t="s">
        <v>125</v>
      </c>
      <c r="C99" s="49" t="s">
        <v>12</v>
      </c>
      <c r="D99" s="67">
        <f>(C10*1*2)+(C10*0.15)+(6*1*0.15)</f>
        <v>171.82500000000002</v>
      </c>
      <c r="E99" s="49">
        <v>35</v>
      </c>
      <c r="F99" s="112">
        <v>12028.1</v>
      </c>
      <c r="G99" s="103"/>
      <c r="H99" s="104"/>
      <c r="I99" s="160">
        <f t="shared" si="2"/>
        <v>12028.1</v>
      </c>
      <c r="J99" s="165"/>
      <c r="K99" s="163">
        <f t="shared" si="1"/>
        <v>0</v>
      </c>
    </row>
    <row r="100" spans="1:11" x14ac:dyDescent="0.25">
      <c r="A100" s="26"/>
      <c r="B100" s="60" t="s">
        <v>96</v>
      </c>
      <c r="C100" s="26"/>
      <c r="D100" s="26"/>
      <c r="E100" s="26"/>
      <c r="F100" s="109"/>
      <c r="G100" s="98"/>
      <c r="H100" s="99"/>
      <c r="I100" s="160">
        <f t="shared" si="2"/>
        <v>0</v>
      </c>
      <c r="J100" s="163"/>
      <c r="K100" s="163">
        <f t="shared" si="1"/>
        <v>0</v>
      </c>
    </row>
    <row r="101" spans="1:11" ht="30" x14ac:dyDescent="0.25">
      <c r="A101" s="69">
        <v>8.6999999999999993</v>
      </c>
      <c r="B101" s="132" t="s">
        <v>24</v>
      </c>
      <c r="C101" s="26" t="s">
        <v>7</v>
      </c>
      <c r="D101" s="52">
        <v>1</v>
      </c>
      <c r="E101" s="26">
        <v>2000</v>
      </c>
      <c r="F101" s="109">
        <v>2000</v>
      </c>
      <c r="G101" s="98"/>
      <c r="H101" s="99"/>
      <c r="I101" s="160">
        <f t="shared" si="2"/>
        <v>2000</v>
      </c>
      <c r="J101" s="163"/>
      <c r="K101" s="163">
        <f t="shared" si="1"/>
        <v>0</v>
      </c>
    </row>
    <row r="102" spans="1:11" ht="30" x14ac:dyDescent="0.25">
      <c r="A102" s="69">
        <v>8.9</v>
      </c>
      <c r="B102" s="131" t="s">
        <v>76</v>
      </c>
      <c r="C102" s="33" t="s">
        <v>7</v>
      </c>
      <c r="D102" s="53">
        <v>1</v>
      </c>
      <c r="E102" s="33">
        <v>1000</v>
      </c>
      <c r="F102" s="113">
        <v>1000</v>
      </c>
      <c r="G102" s="98"/>
      <c r="H102" s="99"/>
      <c r="I102" s="160">
        <f t="shared" si="2"/>
        <v>1000</v>
      </c>
      <c r="J102" s="163"/>
      <c r="K102" s="163">
        <f t="shared" si="1"/>
        <v>0</v>
      </c>
    </row>
    <row r="103" spans="1:11" customFormat="1" x14ac:dyDescent="0.25">
      <c r="A103" s="49"/>
      <c r="B103" s="60" t="s">
        <v>93</v>
      </c>
      <c r="C103" s="49"/>
      <c r="D103" s="68"/>
      <c r="E103" s="49"/>
      <c r="F103" s="112"/>
      <c r="G103" s="103"/>
      <c r="H103" s="104"/>
      <c r="I103" s="160">
        <f t="shared" si="2"/>
        <v>0</v>
      </c>
      <c r="J103" s="165"/>
      <c r="K103" s="163">
        <f t="shared" si="1"/>
        <v>0</v>
      </c>
    </row>
    <row r="104" spans="1:11" x14ac:dyDescent="0.25">
      <c r="A104" s="51">
        <v>8.1</v>
      </c>
      <c r="B104" s="131" t="s">
        <v>58</v>
      </c>
      <c r="C104" s="33" t="s">
        <v>7</v>
      </c>
      <c r="D104" s="53">
        <v>2</v>
      </c>
      <c r="E104" s="33">
        <v>250</v>
      </c>
      <c r="F104" s="113">
        <v>500</v>
      </c>
      <c r="G104" s="98"/>
      <c r="H104" s="99"/>
      <c r="I104" s="160">
        <f t="shared" si="2"/>
        <v>500</v>
      </c>
      <c r="J104" s="163"/>
      <c r="K104" s="163">
        <f t="shared" si="1"/>
        <v>0</v>
      </c>
    </row>
    <row r="105" spans="1:11" ht="30" x14ac:dyDescent="0.25">
      <c r="A105" s="51">
        <v>8.11</v>
      </c>
      <c r="B105" s="131" t="s">
        <v>70</v>
      </c>
      <c r="C105" s="26" t="s">
        <v>7</v>
      </c>
      <c r="D105" s="52">
        <v>2</v>
      </c>
      <c r="E105" s="33">
        <v>250</v>
      </c>
      <c r="F105" s="113">
        <v>500</v>
      </c>
      <c r="G105" s="98"/>
      <c r="H105" s="99"/>
      <c r="I105" s="160">
        <f t="shared" si="2"/>
        <v>500</v>
      </c>
      <c r="J105" s="163"/>
      <c r="K105" s="163">
        <f t="shared" si="1"/>
        <v>0</v>
      </c>
    </row>
    <row r="106" spans="1:11" customFormat="1" ht="60" x14ac:dyDescent="0.25">
      <c r="A106" s="51">
        <v>8.1199999999999992</v>
      </c>
      <c r="B106" s="121" t="s">
        <v>132</v>
      </c>
      <c r="C106" s="87" t="s">
        <v>12</v>
      </c>
      <c r="D106" s="85">
        <v>12.58</v>
      </c>
      <c r="E106" s="49">
        <v>65</v>
      </c>
      <c r="F106" s="112">
        <v>1635.4</v>
      </c>
      <c r="G106" s="103"/>
      <c r="H106" s="104"/>
      <c r="I106" s="160">
        <f t="shared" si="2"/>
        <v>1635.4</v>
      </c>
      <c r="J106" s="165"/>
      <c r="K106" s="163">
        <f t="shared" si="1"/>
        <v>0</v>
      </c>
    </row>
    <row r="107" spans="1:11" customFormat="1" x14ac:dyDescent="0.25">
      <c r="A107" s="51"/>
      <c r="B107" s="60" t="s">
        <v>143</v>
      </c>
      <c r="C107" s="87"/>
      <c r="D107" s="85"/>
      <c r="E107" s="49"/>
      <c r="F107" s="112"/>
      <c r="G107" s="103"/>
      <c r="H107" s="104"/>
      <c r="I107" s="160">
        <f t="shared" si="2"/>
        <v>0</v>
      </c>
      <c r="J107" s="165"/>
      <c r="K107" s="163">
        <f t="shared" si="1"/>
        <v>0</v>
      </c>
    </row>
    <row r="108" spans="1:11" customFormat="1" ht="30" x14ac:dyDescent="0.25">
      <c r="A108" s="51">
        <v>8.1300000000000008</v>
      </c>
      <c r="B108" s="121" t="s">
        <v>144</v>
      </c>
      <c r="C108" s="87" t="s">
        <v>7</v>
      </c>
      <c r="D108" s="89">
        <v>1</v>
      </c>
      <c r="E108" s="49">
        <v>500</v>
      </c>
      <c r="F108" s="112">
        <v>500</v>
      </c>
      <c r="G108" s="103"/>
      <c r="H108" s="104"/>
      <c r="I108" s="160">
        <f t="shared" si="2"/>
        <v>500</v>
      </c>
      <c r="J108" s="165"/>
      <c r="K108" s="163">
        <f t="shared" si="1"/>
        <v>0</v>
      </c>
    </row>
    <row r="109" spans="1:11" customFormat="1" ht="30" x14ac:dyDescent="0.25">
      <c r="A109" s="51">
        <v>8.14</v>
      </c>
      <c r="B109" s="121" t="s">
        <v>145</v>
      </c>
      <c r="C109" s="87" t="s">
        <v>12</v>
      </c>
      <c r="D109" s="90">
        <f>(6.6*2)+(2.5*8)+(1.5*(6.6+2.5+2.5+2.5+2.5))</f>
        <v>58.100000000000009</v>
      </c>
      <c r="E109" s="49">
        <v>55</v>
      </c>
      <c r="F109" s="112">
        <v>6391</v>
      </c>
      <c r="G109" s="103"/>
      <c r="H109" s="104"/>
      <c r="I109" s="160">
        <f t="shared" si="2"/>
        <v>6391</v>
      </c>
      <c r="J109" s="165"/>
      <c r="K109" s="163">
        <f t="shared" si="1"/>
        <v>0</v>
      </c>
    </row>
    <row r="110" spans="1:11" x14ac:dyDescent="0.25">
      <c r="A110" s="27"/>
      <c r="B110" s="57"/>
      <c r="C110" s="27"/>
      <c r="D110" s="27"/>
      <c r="E110" s="27"/>
      <c r="F110" s="110">
        <v>71504.899999999994</v>
      </c>
      <c r="G110" s="35"/>
      <c r="H110" s="99"/>
      <c r="I110" s="156"/>
      <c r="J110" s="163"/>
      <c r="K110" s="163">
        <f t="shared" si="1"/>
        <v>0</v>
      </c>
    </row>
    <row r="111" spans="1:11" x14ac:dyDescent="0.25">
      <c r="A111" s="34">
        <v>9</v>
      </c>
      <c r="B111" s="61" t="s">
        <v>25</v>
      </c>
      <c r="C111" s="31"/>
      <c r="D111" s="31"/>
      <c r="E111" s="31"/>
      <c r="F111" s="111"/>
      <c r="G111" s="98"/>
      <c r="H111" s="99"/>
      <c r="I111" s="156"/>
      <c r="J111" s="163"/>
      <c r="K111" s="163">
        <f t="shared" si="1"/>
        <v>0</v>
      </c>
    </row>
    <row r="112" spans="1:11" x14ac:dyDescent="0.25">
      <c r="A112" s="34"/>
      <c r="B112" s="60" t="s">
        <v>89</v>
      </c>
      <c r="C112" s="31"/>
      <c r="D112" s="31"/>
      <c r="E112" s="31"/>
      <c r="F112" s="111"/>
      <c r="G112" s="98"/>
      <c r="H112" s="99"/>
      <c r="I112" s="156"/>
      <c r="J112" s="163"/>
      <c r="K112" s="163">
        <f t="shared" si="1"/>
        <v>0</v>
      </c>
    </row>
    <row r="113" spans="1:11" ht="45" x14ac:dyDescent="0.25">
      <c r="A113" s="26">
        <v>9.1</v>
      </c>
      <c r="B113" s="43" t="s">
        <v>28</v>
      </c>
      <c r="C113" s="26" t="s">
        <v>12</v>
      </c>
      <c r="D113" s="50">
        <f>C4*4.8</f>
        <v>111.36</v>
      </c>
      <c r="E113" s="26">
        <v>85</v>
      </c>
      <c r="F113" s="109">
        <v>18932.2</v>
      </c>
      <c r="G113" s="98"/>
      <c r="H113" s="99"/>
      <c r="I113" s="156"/>
      <c r="J113" s="163"/>
      <c r="K113" s="163">
        <f t="shared" si="1"/>
        <v>0</v>
      </c>
    </row>
    <row r="114" spans="1:11" ht="30" x14ac:dyDescent="0.25">
      <c r="A114" s="26">
        <v>9.1999999999999993</v>
      </c>
      <c r="B114" s="43" t="s">
        <v>26</v>
      </c>
      <c r="C114" s="26" t="s">
        <v>20</v>
      </c>
      <c r="D114" s="67">
        <f>C4+C5+C5</f>
        <v>31.8</v>
      </c>
      <c r="E114" s="26">
        <v>150</v>
      </c>
      <c r="F114" s="109">
        <v>4770</v>
      </c>
      <c r="G114" s="98"/>
      <c r="H114" s="99"/>
      <c r="I114" s="156"/>
      <c r="J114" s="163"/>
      <c r="K114" s="163">
        <f t="shared" si="1"/>
        <v>0</v>
      </c>
    </row>
    <row r="115" spans="1:11" ht="30" x14ac:dyDescent="0.25">
      <c r="A115" s="26">
        <v>9.3000000000000007</v>
      </c>
      <c r="B115" s="43" t="s">
        <v>52</v>
      </c>
      <c r="C115" s="26" t="s">
        <v>20</v>
      </c>
      <c r="D115" s="50">
        <f>C4*3</f>
        <v>69.599999999999994</v>
      </c>
      <c r="E115" s="26">
        <v>85</v>
      </c>
      <c r="F115" s="109">
        <v>5916</v>
      </c>
      <c r="G115" s="98"/>
      <c r="H115" s="99"/>
      <c r="I115" s="156"/>
      <c r="J115" s="163"/>
      <c r="K115" s="163">
        <f t="shared" si="1"/>
        <v>0</v>
      </c>
    </row>
    <row r="116" spans="1:11" ht="30" x14ac:dyDescent="0.25">
      <c r="A116" s="26">
        <v>9.4</v>
      </c>
      <c r="B116" s="43" t="s">
        <v>29</v>
      </c>
      <c r="C116" s="26" t="s">
        <v>20</v>
      </c>
      <c r="D116" s="67">
        <f>C4/0.9</f>
        <v>25.777777777777775</v>
      </c>
      <c r="E116" s="26">
        <v>150</v>
      </c>
      <c r="F116" s="109">
        <v>3867</v>
      </c>
      <c r="G116" s="98"/>
      <c r="H116" s="99"/>
      <c r="I116" s="156"/>
      <c r="J116" s="163"/>
      <c r="K116" s="163">
        <f t="shared" si="1"/>
        <v>0</v>
      </c>
    </row>
    <row r="117" spans="1:11" ht="30" x14ac:dyDescent="0.25">
      <c r="A117" s="26">
        <v>9.5</v>
      </c>
      <c r="B117" s="43" t="s">
        <v>30</v>
      </c>
      <c r="C117" s="26" t="s">
        <v>20</v>
      </c>
      <c r="D117" s="67">
        <f>C4/0.6</f>
        <v>38.666666666666664</v>
      </c>
      <c r="E117" s="26">
        <v>150</v>
      </c>
      <c r="F117" s="109">
        <v>5800.5</v>
      </c>
      <c r="G117" s="98"/>
      <c r="H117" s="99"/>
      <c r="I117" s="156"/>
      <c r="J117" s="163"/>
      <c r="K117" s="163">
        <f t="shared" si="1"/>
        <v>0</v>
      </c>
    </row>
    <row r="118" spans="1:11" x14ac:dyDescent="0.25">
      <c r="A118" s="34"/>
      <c r="B118" s="60" t="s">
        <v>93</v>
      </c>
      <c r="C118" s="31"/>
      <c r="D118" s="31"/>
      <c r="E118" s="31"/>
      <c r="F118" s="111"/>
      <c r="G118" s="98"/>
      <c r="H118" s="99"/>
      <c r="I118" s="156"/>
      <c r="J118" s="163"/>
      <c r="K118" s="163">
        <f t="shared" si="1"/>
        <v>0</v>
      </c>
    </row>
    <row r="119" spans="1:11" ht="45" x14ac:dyDescent="0.25">
      <c r="A119" s="26">
        <v>9.6</v>
      </c>
      <c r="B119" s="43" t="s">
        <v>133</v>
      </c>
      <c r="C119" s="26" t="s">
        <v>12</v>
      </c>
      <c r="D119" s="51">
        <f>2*2</f>
        <v>4</v>
      </c>
      <c r="E119" s="26">
        <v>500</v>
      </c>
      <c r="F119" s="109">
        <v>4000</v>
      </c>
      <c r="G119" s="98"/>
      <c r="H119" s="99"/>
      <c r="I119" s="156"/>
      <c r="J119" s="163"/>
      <c r="K119" s="163">
        <f t="shared" si="1"/>
        <v>0</v>
      </c>
    </row>
    <row r="120" spans="1:11" ht="30" x14ac:dyDescent="0.25">
      <c r="A120" s="26">
        <v>9.6999999999999993</v>
      </c>
      <c r="B120" s="43" t="s">
        <v>134</v>
      </c>
      <c r="C120" s="26" t="s">
        <v>20</v>
      </c>
      <c r="D120" s="51">
        <f>(2/1)*2</f>
        <v>4</v>
      </c>
      <c r="E120" s="26">
        <v>268</v>
      </c>
      <c r="F120" s="109">
        <v>1072</v>
      </c>
      <c r="G120" s="98"/>
      <c r="H120" s="99"/>
      <c r="I120" s="156"/>
      <c r="J120" s="163"/>
      <c r="K120" s="163">
        <f t="shared" si="1"/>
        <v>0</v>
      </c>
    </row>
    <row r="121" spans="1:11" ht="30" x14ac:dyDescent="0.25">
      <c r="A121" s="26">
        <v>9.8000000000000007</v>
      </c>
      <c r="B121" s="43" t="s">
        <v>135</v>
      </c>
      <c r="C121" s="26" t="s">
        <v>20</v>
      </c>
      <c r="D121" s="51">
        <f>(2/0.6)*2</f>
        <v>6.666666666666667</v>
      </c>
      <c r="E121" s="26">
        <v>150</v>
      </c>
      <c r="F121" s="109">
        <v>1000.5</v>
      </c>
      <c r="G121" s="98"/>
      <c r="H121" s="99"/>
      <c r="I121" s="156"/>
      <c r="J121" s="163"/>
      <c r="K121" s="163">
        <f t="shared" si="1"/>
        <v>0</v>
      </c>
    </row>
    <row r="122" spans="1:11" x14ac:dyDescent="0.25">
      <c r="A122" s="26"/>
      <c r="B122" s="58"/>
      <c r="C122" s="26"/>
      <c r="D122" s="26"/>
      <c r="E122" s="26"/>
      <c r="F122" s="110">
        <v>45358.2</v>
      </c>
      <c r="G122" s="98"/>
      <c r="H122" s="99"/>
      <c r="I122" s="156"/>
      <c r="J122" s="163"/>
      <c r="K122" s="163">
        <f t="shared" si="1"/>
        <v>0</v>
      </c>
    </row>
    <row r="123" spans="1:11" x14ac:dyDescent="0.25">
      <c r="A123" s="27">
        <v>10</v>
      </c>
      <c r="B123" s="57" t="s">
        <v>49</v>
      </c>
      <c r="C123" s="26"/>
      <c r="D123" s="26"/>
      <c r="E123" s="26"/>
      <c r="F123" s="109"/>
      <c r="G123" s="98"/>
      <c r="H123" s="99"/>
      <c r="I123" s="156"/>
      <c r="J123" s="163"/>
      <c r="K123" s="163">
        <f t="shared" si="1"/>
        <v>0</v>
      </c>
    </row>
    <row r="124" spans="1:11" x14ac:dyDescent="0.25">
      <c r="A124" s="27"/>
      <c r="B124" s="60" t="s">
        <v>89</v>
      </c>
      <c r="C124" s="26"/>
      <c r="D124" s="26"/>
      <c r="E124" s="26"/>
      <c r="F124" s="109"/>
      <c r="G124" s="98"/>
      <c r="H124" s="99"/>
      <c r="I124" s="156"/>
      <c r="J124" s="163"/>
      <c r="K124" s="163">
        <f t="shared" si="1"/>
        <v>0</v>
      </c>
    </row>
    <row r="125" spans="1:11" ht="48.75" customHeight="1" x14ac:dyDescent="0.25">
      <c r="A125" s="122">
        <v>10.1</v>
      </c>
      <c r="B125" s="121" t="s">
        <v>53</v>
      </c>
      <c r="C125" s="26" t="s">
        <v>27</v>
      </c>
      <c r="D125" s="26">
        <v>4</v>
      </c>
      <c r="E125" s="26">
        <v>150</v>
      </c>
      <c r="F125" s="109">
        <v>600</v>
      </c>
      <c r="G125" s="98"/>
      <c r="H125" s="99"/>
      <c r="I125" s="157">
        <f>F125</f>
        <v>600</v>
      </c>
      <c r="J125" s="163"/>
      <c r="K125" s="163">
        <f t="shared" si="1"/>
        <v>0</v>
      </c>
    </row>
    <row r="126" spans="1:11" ht="60" x14ac:dyDescent="0.25">
      <c r="A126" s="122">
        <v>10.199999999999999</v>
      </c>
      <c r="B126" s="121" t="s">
        <v>78</v>
      </c>
      <c r="C126" s="26" t="s">
        <v>27</v>
      </c>
      <c r="D126" s="26">
        <v>1</v>
      </c>
      <c r="E126" s="26">
        <v>150</v>
      </c>
      <c r="F126" s="109">
        <v>150</v>
      </c>
      <c r="G126" s="98"/>
      <c r="H126" s="99"/>
      <c r="I126" s="157">
        <f t="shared" ref="I126:I136" si="3">F126</f>
        <v>150</v>
      </c>
      <c r="J126" s="163"/>
      <c r="K126" s="163">
        <f t="shared" si="1"/>
        <v>0</v>
      </c>
    </row>
    <row r="127" spans="1:11" ht="75" x14ac:dyDescent="0.25">
      <c r="A127" s="122">
        <v>10.3</v>
      </c>
      <c r="B127" s="121" t="s">
        <v>79</v>
      </c>
      <c r="C127" s="26" t="s">
        <v>27</v>
      </c>
      <c r="D127" s="26">
        <v>1</v>
      </c>
      <c r="E127" s="26">
        <v>150</v>
      </c>
      <c r="F127" s="109">
        <v>150</v>
      </c>
      <c r="G127" s="98"/>
      <c r="H127" s="99"/>
      <c r="I127" s="157">
        <f t="shared" si="3"/>
        <v>150</v>
      </c>
      <c r="J127" s="163"/>
      <c r="K127" s="163">
        <f t="shared" si="1"/>
        <v>0</v>
      </c>
    </row>
    <row r="128" spans="1:11" ht="75" x14ac:dyDescent="0.25">
      <c r="A128" s="122">
        <v>10.4</v>
      </c>
      <c r="B128" s="133" t="s">
        <v>72</v>
      </c>
      <c r="C128" s="31" t="s">
        <v>27</v>
      </c>
      <c r="D128" s="31">
        <v>1</v>
      </c>
      <c r="E128" s="26">
        <v>150</v>
      </c>
      <c r="F128" s="109">
        <v>1500</v>
      </c>
      <c r="G128" s="98"/>
      <c r="H128" s="99"/>
      <c r="I128" s="157">
        <f t="shared" si="3"/>
        <v>1500</v>
      </c>
      <c r="J128" s="163"/>
      <c r="K128" s="163">
        <f t="shared" si="1"/>
        <v>0</v>
      </c>
    </row>
    <row r="129" spans="1:11" ht="75" x14ac:dyDescent="0.25">
      <c r="A129" s="122">
        <v>10.5</v>
      </c>
      <c r="B129" s="133" t="s">
        <v>121</v>
      </c>
      <c r="C129" s="26" t="s">
        <v>7</v>
      </c>
      <c r="D129" s="26">
        <v>1</v>
      </c>
      <c r="E129" s="26">
        <v>2500</v>
      </c>
      <c r="F129" s="109">
        <v>2500</v>
      </c>
      <c r="G129" s="98"/>
      <c r="H129" s="99"/>
      <c r="I129" s="157">
        <f>F129</f>
        <v>2500</v>
      </c>
      <c r="J129" s="163"/>
      <c r="K129" s="163">
        <f t="shared" si="1"/>
        <v>0</v>
      </c>
    </row>
    <row r="130" spans="1:11" ht="90" x14ac:dyDescent="0.25">
      <c r="A130" s="122">
        <v>10.6</v>
      </c>
      <c r="B130" s="133" t="s">
        <v>77</v>
      </c>
      <c r="C130" s="26" t="s">
        <v>7</v>
      </c>
      <c r="D130" s="26">
        <v>2</v>
      </c>
      <c r="E130" s="26">
        <v>500</v>
      </c>
      <c r="F130" s="109">
        <v>1000</v>
      </c>
      <c r="G130" s="98"/>
      <c r="H130" s="99"/>
      <c r="I130" s="157">
        <f t="shared" si="3"/>
        <v>1000</v>
      </c>
      <c r="J130" s="163"/>
      <c r="K130" s="163">
        <f t="shared" si="1"/>
        <v>0</v>
      </c>
    </row>
    <row r="131" spans="1:11" x14ac:dyDescent="0.25">
      <c r="A131" s="122">
        <v>10.7</v>
      </c>
      <c r="B131" s="133" t="s">
        <v>122</v>
      </c>
      <c r="C131" s="26" t="s">
        <v>7</v>
      </c>
      <c r="D131" s="26">
        <v>1</v>
      </c>
      <c r="E131" s="26"/>
      <c r="F131" s="109"/>
      <c r="G131" s="98"/>
      <c r="H131" s="99"/>
      <c r="I131" s="157">
        <f>F131</f>
        <v>0</v>
      </c>
      <c r="J131" s="163"/>
      <c r="K131" s="163">
        <f t="shared" si="1"/>
        <v>0</v>
      </c>
    </row>
    <row r="132" spans="1:11" ht="45" x14ac:dyDescent="0.25">
      <c r="A132" s="122">
        <v>10.8</v>
      </c>
      <c r="B132" s="133" t="s">
        <v>123</v>
      </c>
      <c r="C132" s="26" t="s">
        <v>20</v>
      </c>
      <c r="D132" s="82">
        <v>150</v>
      </c>
      <c r="E132" s="26">
        <v>125</v>
      </c>
      <c r="F132" s="109">
        <v>18750</v>
      </c>
      <c r="G132" s="98"/>
      <c r="H132" s="99"/>
      <c r="I132" s="157">
        <f t="shared" si="3"/>
        <v>18750</v>
      </c>
      <c r="J132" s="163"/>
      <c r="K132" s="163">
        <f t="shared" si="1"/>
        <v>0</v>
      </c>
    </row>
    <row r="133" spans="1:11" x14ac:dyDescent="0.25">
      <c r="A133" s="83"/>
      <c r="B133" s="60" t="s">
        <v>93</v>
      </c>
      <c r="C133" s="26"/>
      <c r="D133" s="26"/>
      <c r="E133" s="26"/>
      <c r="F133" s="109"/>
      <c r="G133" s="98"/>
      <c r="H133" s="99"/>
      <c r="I133" s="157">
        <f t="shared" si="3"/>
        <v>0</v>
      </c>
      <c r="J133" s="163"/>
      <c r="K133" s="163">
        <f t="shared" si="1"/>
        <v>0</v>
      </c>
    </row>
    <row r="134" spans="1:11" ht="75" x14ac:dyDescent="0.25">
      <c r="A134" s="122">
        <v>10.9</v>
      </c>
      <c r="B134" s="134" t="s">
        <v>129</v>
      </c>
      <c r="C134" s="31" t="s">
        <v>27</v>
      </c>
      <c r="D134" s="31">
        <v>1</v>
      </c>
      <c r="E134" s="31">
        <v>150</v>
      </c>
      <c r="F134" s="111">
        <v>150</v>
      </c>
      <c r="G134" s="98"/>
      <c r="H134" s="99"/>
      <c r="I134" s="157">
        <f t="shared" si="3"/>
        <v>150</v>
      </c>
      <c r="J134" s="163"/>
      <c r="K134" s="163">
        <f t="shared" si="1"/>
        <v>0</v>
      </c>
    </row>
    <row r="135" spans="1:11" ht="60" x14ac:dyDescent="0.25">
      <c r="A135" s="135">
        <v>10.1</v>
      </c>
      <c r="B135" s="121" t="s">
        <v>67</v>
      </c>
      <c r="C135" s="26" t="s">
        <v>27</v>
      </c>
      <c r="D135" s="26">
        <v>2</v>
      </c>
      <c r="E135" s="26">
        <v>150</v>
      </c>
      <c r="F135" s="109">
        <v>300</v>
      </c>
      <c r="G135" s="98"/>
      <c r="H135" s="99"/>
      <c r="I135" s="157">
        <f>F135</f>
        <v>300</v>
      </c>
      <c r="J135" s="163"/>
      <c r="K135" s="163">
        <f t="shared" si="1"/>
        <v>0</v>
      </c>
    </row>
    <row r="136" spans="1:11" ht="48.75" customHeight="1" x14ac:dyDescent="0.25">
      <c r="A136" s="122">
        <v>10.11</v>
      </c>
      <c r="B136" s="133" t="s">
        <v>130</v>
      </c>
      <c r="C136" s="26" t="s">
        <v>27</v>
      </c>
      <c r="D136" s="26">
        <v>1</v>
      </c>
      <c r="E136" s="26">
        <v>2500</v>
      </c>
      <c r="F136" s="109">
        <v>2500</v>
      </c>
      <c r="G136" s="98"/>
      <c r="H136" s="99"/>
      <c r="I136" s="157">
        <f t="shared" si="3"/>
        <v>2500</v>
      </c>
      <c r="J136" s="163"/>
      <c r="K136" s="163">
        <f t="shared" si="1"/>
        <v>0</v>
      </c>
    </row>
    <row r="137" spans="1:11" x14ac:dyDescent="0.25">
      <c r="A137" s="26"/>
      <c r="B137" s="58"/>
      <c r="C137" s="26"/>
      <c r="D137" s="26"/>
      <c r="E137" s="26"/>
      <c r="F137" s="110">
        <v>27600</v>
      </c>
      <c r="G137" s="98"/>
      <c r="H137" s="99"/>
      <c r="I137" s="156"/>
      <c r="J137" s="163"/>
      <c r="K137" s="163">
        <f t="shared" si="1"/>
        <v>0</v>
      </c>
    </row>
    <row r="138" spans="1:11" x14ac:dyDescent="0.25">
      <c r="A138" s="27">
        <v>11</v>
      </c>
      <c r="B138" s="57" t="s">
        <v>50</v>
      </c>
      <c r="C138" s="26"/>
      <c r="D138" s="26"/>
      <c r="E138" s="26"/>
      <c r="F138" s="109"/>
      <c r="G138" s="98"/>
      <c r="H138" s="99"/>
      <c r="I138" s="156"/>
      <c r="J138" s="163"/>
      <c r="K138" s="163">
        <f t="shared" si="1"/>
        <v>0</v>
      </c>
    </row>
    <row r="139" spans="1:11" ht="45" x14ac:dyDescent="0.25">
      <c r="A139" s="126">
        <v>11.1</v>
      </c>
      <c r="B139" s="125" t="s">
        <v>33</v>
      </c>
      <c r="C139" s="126" t="s">
        <v>7</v>
      </c>
      <c r="D139" s="126">
        <v>1</v>
      </c>
      <c r="E139" s="126">
        <v>500</v>
      </c>
      <c r="F139" s="128">
        <v>500</v>
      </c>
      <c r="G139" s="98"/>
      <c r="H139" s="99"/>
      <c r="I139" s="157">
        <f>F139</f>
        <v>500</v>
      </c>
      <c r="J139" s="163"/>
      <c r="K139" s="163">
        <f t="shared" si="1"/>
        <v>0</v>
      </c>
    </row>
    <row r="140" spans="1:11" ht="45" x14ac:dyDescent="0.25">
      <c r="A140" s="126">
        <v>11.2</v>
      </c>
      <c r="B140" s="125" t="s">
        <v>34</v>
      </c>
      <c r="C140" s="126" t="s">
        <v>7</v>
      </c>
      <c r="D140" s="137">
        <v>1</v>
      </c>
      <c r="E140" s="126">
        <v>1000</v>
      </c>
      <c r="F140" s="128">
        <v>1000</v>
      </c>
      <c r="G140" s="98"/>
      <c r="H140" s="99"/>
      <c r="I140" s="157">
        <f>F140</f>
        <v>1000</v>
      </c>
      <c r="J140" s="163"/>
      <c r="K140" s="163">
        <f t="shared" si="1"/>
        <v>0</v>
      </c>
    </row>
    <row r="141" spans="1:11" ht="18" customHeight="1" x14ac:dyDescent="0.25">
      <c r="A141" s="126">
        <v>11.3</v>
      </c>
      <c r="B141" s="125" t="s">
        <v>35</v>
      </c>
      <c r="C141" s="126" t="s">
        <v>27</v>
      </c>
      <c r="D141" s="136">
        <v>2</v>
      </c>
      <c r="E141" s="126">
        <v>500</v>
      </c>
      <c r="F141" s="128">
        <v>1000</v>
      </c>
      <c r="G141" s="98" t="s">
        <v>158</v>
      </c>
      <c r="H141" s="99"/>
      <c r="I141" s="157">
        <f>F141/2</f>
        <v>500</v>
      </c>
      <c r="J141" s="163"/>
      <c r="K141" s="163">
        <f t="shared" si="1"/>
        <v>0</v>
      </c>
    </row>
    <row r="142" spans="1:11" ht="18" customHeight="1" x14ac:dyDescent="0.25">
      <c r="A142" s="122">
        <v>11.4</v>
      </c>
      <c r="B142" s="121" t="s">
        <v>63</v>
      </c>
      <c r="C142" s="122" t="s">
        <v>20</v>
      </c>
      <c r="D142" s="138">
        <v>25</v>
      </c>
      <c r="E142" s="122">
        <v>85</v>
      </c>
      <c r="F142" s="123">
        <v>2125</v>
      </c>
      <c r="G142" s="98"/>
      <c r="H142" s="99"/>
      <c r="I142" s="157">
        <f>F142</f>
        <v>2125</v>
      </c>
      <c r="J142" s="163"/>
      <c r="K142" s="163">
        <f t="shared" si="1"/>
        <v>0</v>
      </c>
    </row>
    <row r="143" spans="1:11" x14ac:dyDescent="0.25">
      <c r="A143" s="26"/>
      <c r="B143" s="58"/>
      <c r="C143" s="26"/>
      <c r="D143" s="69"/>
      <c r="E143" s="26"/>
      <c r="F143" s="110">
        <v>4625</v>
      </c>
      <c r="G143" s="98"/>
      <c r="H143" s="99"/>
      <c r="I143" s="156"/>
      <c r="J143" s="163"/>
      <c r="K143" s="163">
        <f t="shared" si="1"/>
        <v>0</v>
      </c>
    </row>
    <row r="144" spans="1:11" x14ac:dyDescent="0.25">
      <c r="A144" s="27">
        <v>12</v>
      </c>
      <c r="B144" s="57" t="s">
        <v>47</v>
      </c>
      <c r="C144" s="26"/>
      <c r="D144" s="26"/>
      <c r="E144" s="26"/>
      <c r="F144" s="109"/>
      <c r="G144" s="98"/>
      <c r="H144" s="99"/>
      <c r="I144" s="156"/>
      <c r="J144" s="163"/>
      <c r="K144" s="163">
        <f t="shared" si="1"/>
        <v>0</v>
      </c>
    </row>
    <row r="145" spans="1:11" x14ac:dyDescent="0.25">
      <c r="A145" s="27"/>
      <c r="B145" s="60" t="s">
        <v>71</v>
      </c>
      <c r="C145" s="26"/>
      <c r="D145" s="26"/>
      <c r="E145" s="26"/>
      <c r="F145" s="109"/>
      <c r="G145" s="98"/>
      <c r="H145" s="99"/>
      <c r="I145" s="156"/>
      <c r="J145" s="163"/>
      <c r="K145" s="163">
        <f t="shared" si="1"/>
        <v>0</v>
      </c>
    </row>
    <row r="146" spans="1:11" ht="90" x14ac:dyDescent="0.25">
      <c r="A146" s="26">
        <v>12.1</v>
      </c>
      <c r="B146" s="43" t="s">
        <v>82</v>
      </c>
      <c r="C146" s="26" t="s">
        <v>27</v>
      </c>
      <c r="D146" s="26">
        <v>1</v>
      </c>
      <c r="E146" s="26">
        <v>5000</v>
      </c>
      <c r="F146" s="109">
        <v>5000</v>
      </c>
      <c r="G146" s="98"/>
      <c r="H146" s="99"/>
      <c r="I146" s="156"/>
      <c r="J146" s="163"/>
      <c r="K146" s="163">
        <f t="shared" si="1"/>
        <v>0</v>
      </c>
    </row>
    <row r="147" spans="1:11" ht="90" x14ac:dyDescent="0.25">
      <c r="A147" s="122">
        <v>12.2</v>
      </c>
      <c r="B147" s="121" t="s">
        <v>83</v>
      </c>
      <c r="C147" s="26" t="s">
        <v>27</v>
      </c>
      <c r="D147" s="26">
        <v>2</v>
      </c>
      <c r="E147" s="26">
        <v>2500</v>
      </c>
      <c r="F147" s="109">
        <v>5000</v>
      </c>
      <c r="G147" s="98"/>
      <c r="H147" s="99"/>
      <c r="I147" s="157">
        <f>F147</f>
        <v>5000</v>
      </c>
      <c r="J147" s="163"/>
      <c r="K147" s="163">
        <f t="shared" si="1"/>
        <v>0</v>
      </c>
    </row>
    <row r="148" spans="1:11" ht="75" x14ac:dyDescent="0.25">
      <c r="A148" s="122">
        <v>12.3</v>
      </c>
      <c r="B148" s="121" t="s">
        <v>68</v>
      </c>
      <c r="C148" s="26" t="s">
        <v>27</v>
      </c>
      <c r="D148" s="26">
        <v>2</v>
      </c>
      <c r="E148" s="26">
        <v>5000</v>
      </c>
      <c r="F148" s="109">
        <v>5000</v>
      </c>
      <c r="G148" s="98"/>
      <c r="H148" s="99"/>
      <c r="I148" s="157">
        <f>F148</f>
        <v>5000</v>
      </c>
      <c r="J148" s="163"/>
      <c r="K148" s="163">
        <f t="shared" ref="K148:K167" si="4">+J148*E148</f>
        <v>0</v>
      </c>
    </row>
    <row r="149" spans="1:11" x14ac:dyDescent="0.25">
      <c r="A149" s="122"/>
      <c r="B149" s="139" t="s">
        <v>136</v>
      </c>
      <c r="C149" s="26"/>
      <c r="D149" s="26"/>
      <c r="E149" s="26"/>
      <c r="F149" s="109"/>
      <c r="G149" s="98"/>
      <c r="H149" s="99"/>
      <c r="I149" s="157">
        <f>F149</f>
        <v>0</v>
      </c>
      <c r="J149" s="163"/>
      <c r="K149" s="163">
        <f t="shared" si="4"/>
        <v>0</v>
      </c>
    </row>
    <row r="150" spans="1:11" ht="75" x14ac:dyDescent="0.25">
      <c r="A150" s="122">
        <v>12.4</v>
      </c>
      <c r="B150" s="121" t="s">
        <v>137</v>
      </c>
      <c r="C150" s="26" t="s">
        <v>27</v>
      </c>
      <c r="D150" s="26">
        <v>1</v>
      </c>
      <c r="E150" s="26">
        <v>1500</v>
      </c>
      <c r="F150" s="109">
        <v>1500</v>
      </c>
      <c r="G150" s="98"/>
      <c r="H150" s="99"/>
      <c r="I150" s="157">
        <f>F150</f>
        <v>1500</v>
      </c>
      <c r="J150" s="163"/>
      <c r="K150" s="163">
        <f t="shared" si="4"/>
        <v>0</v>
      </c>
    </row>
    <row r="151" spans="1:11" x14ac:dyDescent="0.25">
      <c r="A151" s="26"/>
      <c r="B151" s="58"/>
      <c r="C151" s="26"/>
      <c r="D151" s="26"/>
      <c r="E151" s="26"/>
      <c r="F151" s="110">
        <v>16500</v>
      </c>
      <c r="G151" s="98"/>
      <c r="H151" s="99"/>
      <c r="I151" s="156"/>
      <c r="J151" s="163"/>
      <c r="K151" s="163">
        <f t="shared" si="4"/>
        <v>0</v>
      </c>
    </row>
    <row r="152" spans="1:11" x14ac:dyDescent="0.25">
      <c r="A152" s="27">
        <v>13</v>
      </c>
      <c r="B152" s="57" t="s">
        <v>97</v>
      </c>
      <c r="C152" s="26"/>
      <c r="D152" s="26"/>
      <c r="E152" s="26"/>
      <c r="F152" s="109"/>
      <c r="G152" s="98"/>
      <c r="H152" s="99"/>
      <c r="I152" s="156"/>
      <c r="J152" s="163"/>
      <c r="K152" s="163">
        <f t="shared" si="4"/>
        <v>0</v>
      </c>
    </row>
    <row r="153" spans="1:11" x14ac:dyDescent="0.25">
      <c r="A153" s="70"/>
      <c r="B153" s="60" t="s">
        <v>89</v>
      </c>
      <c r="C153" s="33"/>
      <c r="D153" s="26"/>
      <c r="E153" s="33"/>
      <c r="F153" s="113"/>
      <c r="G153" s="98"/>
      <c r="H153" s="99"/>
      <c r="I153" s="156"/>
      <c r="J153" s="163"/>
      <c r="K153" s="163">
        <f t="shared" si="4"/>
        <v>0</v>
      </c>
    </row>
    <row r="154" spans="1:11" ht="45" x14ac:dyDescent="0.25">
      <c r="A154" s="122">
        <v>13.1</v>
      </c>
      <c r="B154" s="121" t="s">
        <v>73</v>
      </c>
      <c r="C154" s="122" t="s">
        <v>7</v>
      </c>
      <c r="D154" s="122">
        <v>1</v>
      </c>
      <c r="E154" s="122">
        <v>500</v>
      </c>
      <c r="F154" s="123">
        <v>500</v>
      </c>
      <c r="G154" s="98"/>
      <c r="H154" s="99"/>
      <c r="I154" s="157">
        <f>F154</f>
        <v>500</v>
      </c>
      <c r="J154" s="163"/>
      <c r="K154" s="163">
        <f t="shared" si="4"/>
        <v>0</v>
      </c>
    </row>
    <row r="155" spans="1:11" customFormat="1" ht="30" x14ac:dyDescent="0.25">
      <c r="A155" s="144">
        <v>13.2</v>
      </c>
      <c r="B155" s="121" t="s">
        <v>85</v>
      </c>
      <c r="C155" s="122" t="s">
        <v>12</v>
      </c>
      <c r="D155" s="145">
        <f>(1.2*4)+2*((0.15*4)+(0.15*2))</f>
        <v>6.6</v>
      </c>
      <c r="E155" s="146">
        <v>250</v>
      </c>
      <c r="F155" s="123">
        <v>3300</v>
      </c>
      <c r="G155" s="97"/>
      <c r="H155" s="104"/>
      <c r="I155" s="160">
        <f>F155</f>
        <v>3300</v>
      </c>
      <c r="J155" s="165"/>
      <c r="K155" s="163">
        <f t="shared" si="4"/>
        <v>0</v>
      </c>
    </row>
    <row r="156" spans="1:11" x14ac:dyDescent="0.25">
      <c r="A156" s="147"/>
      <c r="B156" s="139" t="s">
        <v>90</v>
      </c>
      <c r="C156" s="144"/>
      <c r="D156" s="122"/>
      <c r="E156" s="144"/>
      <c r="F156" s="148"/>
      <c r="G156" s="98"/>
      <c r="H156" s="99"/>
      <c r="I156" s="156"/>
      <c r="J156" s="163"/>
      <c r="K156" s="163">
        <f t="shared" si="4"/>
        <v>0</v>
      </c>
    </row>
    <row r="157" spans="1:11" ht="30" x14ac:dyDescent="0.25">
      <c r="A157" s="122">
        <v>13.3</v>
      </c>
      <c r="B157" s="121" t="s">
        <v>32</v>
      </c>
      <c r="C157" s="122" t="s">
        <v>12</v>
      </c>
      <c r="D157" s="149">
        <f>C10*2.1</f>
        <v>166.95000000000002</v>
      </c>
      <c r="E157" s="122">
        <v>55</v>
      </c>
      <c r="F157" s="123">
        <v>18364.5</v>
      </c>
      <c r="G157" s="98"/>
      <c r="H157" s="99"/>
      <c r="I157" s="157">
        <f>F157</f>
        <v>18364.5</v>
      </c>
      <c r="J157" s="163"/>
      <c r="K157" s="163">
        <f t="shared" si="4"/>
        <v>0</v>
      </c>
    </row>
    <row r="158" spans="1:11" x14ac:dyDescent="0.25">
      <c r="A158" s="70"/>
      <c r="B158" s="60" t="s">
        <v>88</v>
      </c>
      <c r="C158" s="33"/>
      <c r="D158" s="26"/>
      <c r="E158" s="33"/>
      <c r="F158" s="113"/>
      <c r="G158" s="98"/>
      <c r="H158" s="99"/>
      <c r="I158" s="156"/>
      <c r="J158" s="163"/>
      <c r="K158" s="163">
        <f t="shared" si="4"/>
        <v>0</v>
      </c>
    </row>
    <row r="159" spans="1:11" ht="30" x14ac:dyDescent="0.25">
      <c r="A159" s="140">
        <v>13.4</v>
      </c>
      <c r="B159" s="141" t="s">
        <v>126</v>
      </c>
      <c r="C159" s="140" t="s">
        <v>12</v>
      </c>
      <c r="D159" s="142">
        <f>(C4*C5)+(C12*C13)+(C14*C15)</f>
        <v>219.76</v>
      </c>
      <c r="E159" s="140">
        <v>25</v>
      </c>
      <c r="F159" s="143">
        <v>10980</v>
      </c>
      <c r="G159" s="98"/>
      <c r="H159" s="99"/>
      <c r="I159" s="156"/>
      <c r="J159" s="163"/>
      <c r="K159" s="163">
        <f t="shared" si="4"/>
        <v>0</v>
      </c>
    </row>
    <row r="160" spans="1:11" ht="45" x14ac:dyDescent="0.25">
      <c r="A160" s="140">
        <v>13.5</v>
      </c>
      <c r="B160" s="125" t="s">
        <v>74</v>
      </c>
      <c r="C160" s="126" t="s">
        <v>20</v>
      </c>
      <c r="D160" s="150">
        <f>8*3</f>
        <v>24</v>
      </c>
      <c r="E160" s="151">
        <v>250</v>
      </c>
      <c r="F160" s="128">
        <v>6000</v>
      </c>
      <c r="G160" s="97"/>
      <c r="H160" s="99"/>
      <c r="I160" s="156"/>
      <c r="J160" s="163"/>
      <c r="K160" s="163">
        <f t="shared" si="4"/>
        <v>0</v>
      </c>
    </row>
    <row r="161" spans="1:11" ht="45" x14ac:dyDescent="0.25">
      <c r="A161" s="33">
        <v>13.6</v>
      </c>
      <c r="B161" s="43" t="s">
        <v>127</v>
      </c>
      <c r="C161" s="26" t="s">
        <v>7</v>
      </c>
      <c r="D161" s="26">
        <v>2</v>
      </c>
      <c r="E161" s="26">
        <v>500</v>
      </c>
      <c r="F161" s="109">
        <v>1000</v>
      </c>
      <c r="G161" s="98"/>
      <c r="H161" s="99"/>
      <c r="I161" s="157">
        <f>F161</f>
        <v>1000</v>
      </c>
      <c r="J161" s="163"/>
      <c r="K161" s="163">
        <f t="shared" si="4"/>
        <v>0</v>
      </c>
    </row>
    <row r="162" spans="1:11" customFormat="1" ht="30" x14ac:dyDescent="0.25">
      <c r="A162" s="140">
        <v>13.7</v>
      </c>
      <c r="B162" s="125" t="s">
        <v>128</v>
      </c>
      <c r="C162" s="126" t="s">
        <v>7</v>
      </c>
      <c r="D162" s="126">
        <v>1</v>
      </c>
      <c r="E162" s="126">
        <v>890</v>
      </c>
      <c r="F162" s="128">
        <v>890</v>
      </c>
      <c r="G162" s="98" t="s">
        <v>159</v>
      </c>
      <c r="H162" s="104"/>
      <c r="I162" s="160">
        <f>F162/2</f>
        <v>445</v>
      </c>
      <c r="J162" s="165"/>
      <c r="K162" s="163">
        <f t="shared" si="4"/>
        <v>0</v>
      </c>
    </row>
    <row r="163" spans="1:11" customFormat="1" x14ac:dyDescent="0.25">
      <c r="A163" s="26"/>
      <c r="B163" s="58"/>
      <c r="C163" s="26"/>
      <c r="D163" s="26"/>
      <c r="E163" s="26"/>
      <c r="F163" s="110">
        <v>41034.5</v>
      </c>
      <c r="G163" s="98"/>
      <c r="H163" s="104"/>
      <c r="I163" s="159"/>
      <c r="J163" s="165"/>
      <c r="K163" s="163">
        <f t="shared" si="4"/>
        <v>0</v>
      </c>
    </row>
    <row r="164" spans="1:11" customFormat="1" x14ac:dyDescent="0.25">
      <c r="A164" s="27">
        <v>14</v>
      </c>
      <c r="B164" s="57" t="s">
        <v>149</v>
      </c>
      <c r="C164" s="26"/>
      <c r="D164" s="26"/>
      <c r="E164" s="26"/>
      <c r="F164" s="109"/>
      <c r="G164" s="98"/>
      <c r="H164" s="104"/>
      <c r="I164" s="159"/>
      <c r="J164" s="165"/>
      <c r="K164" s="163">
        <f t="shared" si="4"/>
        <v>0</v>
      </c>
    </row>
    <row r="165" spans="1:11" s="40" customFormat="1" x14ac:dyDescent="0.25">
      <c r="A165" s="25">
        <v>14.1</v>
      </c>
      <c r="B165" s="42" t="s">
        <v>75</v>
      </c>
      <c r="C165" s="25" t="s">
        <v>7</v>
      </c>
      <c r="D165" s="25">
        <v>1</v>
      </c>
      <c r="E165" s="25">
        <v>500</v>
      </c>
      <c r="F165" s="109">
        <v>500</v>
      </c>
      <c r="G165" s="97"/>
      <c r="H165" s="96"/>
      <c r="I165" s="161">
        <f>F165</f>
        <v>500</v>
      </c>
      <c r="J165" s="163"/>
      <c r="K165" s="163">
        <f t="shared" si="4"/>
        <v>0</v>
      </c>
    </row>
    <row r="166" spans="1:11" s="40" customFormat="1" ht="17.25" customHeight="1" x14ac:dyDescent="0.25">
      <c r="A166" s="25">
        <v>14.2</v>
      </c>
      <c r="B166" s="42" t="s">
        <v>38</v>
      </c>
      <c r="C166" s="25" t="s">
        <v>7</v>
      </c>
      <c r="D166" s="25">
        <v>1</v>
      </c>
      <c r="E166" s="25">
        <v>2500</v>
      </c>
      <c r="F166" s="109">
        <v>2500</v>
      </c>
      <c r="G166" s="97"/>
      <c r="H166" s="96"/>
      <c r="I166" s="161">
        <f>F166</f>
        <v>2500</v>
      </c>
      <c r="J166" s="163"/>
      <c r="K166" s="163">
        <f t="shared" si="4"/>
        <v>0</v>
      </c>
    </row>
    <row r="167" spans="1:11" s="40" customFormat="1" x14ac:dyDescent="0.25">
      <c r="A167" s="25">
        <v>14.3</v>
      </c>
      <c r="B167" s="42" t="s">
        <v>39</v>
      </c>
      <c r="C167" s="25" t="s">
        <v>7</v>
      </c>
      <c r="D167" s="25">
        <v>1</v>
      </c>
      <c r="E167" s="25">
        <v>2500</v>
      </c>
      <c r="F167" s="109">
        <v>2500</v>
      </c>
      <c r="G167" s="97"/>
      <c r="H167" s="96"/>
      <c r="I167" s="161">
        <f>F167</f>
        <v>2500</v>
      </c>
      <c r="J167" s="163"/>
      <c r="K167" s="163">
        <f t="shared" si="4"/>
        <v>0</v>
      </c>
    </row>
    <row r="168" spans="1:11" s="40" customFormat="1" x14ac:dyDescent="0.25">
      <c r="A168" s="94"/>
      <c r="B168" s="117"/>
      <c r="C168" s="94"/>
      <c r="D168" s="94"/>
      <c r="E168" s="94"/>
      <c r="F168" s="118">
        <v>5500</v>
      </c>
      <c r="G168" s="94"/>
      <c r="H168" s="153" t="s">
        <v>160</v>
      </c>
      <c r="I168" s="152">
        <f>SUM(I18:I167)</f>
        <v>160007.77499999999</v>
      </c>
      <c r="J168" s="163"/>
      <c r="K168" s="163">
        <f>SUM(K19:K167)</f>
        <v>12450</v>
      </c>
    </row>
    <row r="169" spans="1:11" ht="15.75" thickBot="1" x14ac:dyDescent="0.3">
      <c r="A169" s="37"/>
      <c r="B169" s="63"/>
      <c r="C169" s="54"/>
      <c r="D169" s="54"/>
      <c r="E169" s="119">
        <f>F168+F163+F151+F143+F137+F122+F110+F88+F79+F70+F60+F38+F29+F21</f>
        <v>378577.3</v>
      </c>
      <c r="F169" s="64">
        <f>F167+F166+F165+F162+F161+F160+F159+F157+F155+F154+F150+F148+F147+F146+F142+F141+F140+F139+F136+F135+F134+F132+F130+F129+F128+F127+F126+F125+F121+F120+F119+F117+F116+F115+F114+F113+F109+F108+F106+F105+F104+F102+F101+F99+F97+F96+F95+F94+F92+F91+F87+F85+F83+F82+F78+F76+F74+F73+F69+F68+F66+F64+F63+F59+F58+F56+F55+F53+F52+F51+F50+F49+F47+F46+F45+F44+F43+F42+F41+F37+F36+F35+F34+F33+F32+F28+F26+F25+F23+F20+F19</f>
        <v>381277.3</v>
      </c>
      <c r="G169" s="95"/>
    </row>
    <row r="170" spans="1:11" ht="15.75" thickTop="1" x14ac:dyDescent="0.25">
      <c r="A170" s="37"/>
      <c r="B170" s="63"/>
      <c r="C170" s="37"/>
      <c r="D170" s="37"/>
      <c r="E170" s="120">
        <f>E169*0.06</f>
        <v>22714.637999999999</v>
      </c>
      <c r="F170" s="114">
        <f>F169*0.06</f>
        <v>22876.637999999999</v>
      </c>
      <c r="G170" s="41"/>
    </row>
    <row r="171" spans="1:11" ht="30" x14ac:dyDescent="0.25">
      <c r="A171" s="37"/>
      <c r="B171" s="63"/>
      <c r="C171" s="37"/>
      <c r="D171" s="37" t="s">
        <v>154</v>
      </c>
      <c r="E171" s="114">
        <f>E169+E170</f>
        <v>401291.93799999997</v>
      </c>
      <c r="F171" s="114">
        <f>F169+F170</f>
        <v>404153.93799999997</v>
      </c>
      <c r="G171" s="41"/>
    </row>
    <row r="172" spans="1:11" x14ac:dyDescent="0.25">
      <c r="A172" s="37"/>
      <c r="B172" s="63"/>
      <c r="C172" s="37"/>
      <c r="D172" s="37" t="s">
        <v>155</v>
      </c>
      <c r="E172" s="114">
        <v>68688</v>
      </c>
      <c r="F172" s="114"/>
      <c r="G172" s="41"/>
    </row>
    <row r="173" spans="1:11" x14ac:dyDescent="0.25">
      <c r="A173" s="37"/>
      <c r="B173" s="63"/>
      <c r="C173" s="37"/>
      <c r="D173" s="37"/>
      <c r="E173" s="114">
        <f>E171+E172</f>
        <v>469979.93799999997</v>
      </c>
      <c r="F173" s="114"/>
      <c r="G173" s="41"/>
    </row>
    <row r="174" spans="1:11" x14ac:dyDescent="0.25">
      <c r="A174" s="37"/>
      <c r="B174" s="63"/>
      <c r="C174" s="37"/>
      <c r="D174" s="37"/>
      <c r="E174" s="41"/>
      <c r="F174" s="114"/>
      <c r="G174" s="41"/>
    </row>
    <row r="175" spans="1:11" x14ac:dyDescent="0.25">
      <c r="A175" s="37"/>
      <c r="B175" s="63"/>
      <c r="C175" s="37"/>
      <c r="D175" s="37"/>
      <c r="E175" s="41"/>
      <c r="F175" s="114"/>
      <c r="G175" s="41"/>
    </row>
  </sheetData>
  <mergeCells count="3">
    <mergeCell ref="A1:F1"/>
    <mergeCell ref="A2:F2"/>
    <mergeCell ref="J16:K16"/>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&amp;R&amp;9&amp;KFF0000GA. NILANDHOO
&amp;K01+000 Waste Management Centre BOQ</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07"/>
  <sheetViews>
    <sheetView zoomScale="85" zoomScaleNormal="85" zoomScaleSheetLayoutView="115" workbookViewId="0">
      <pane ySplit="17" topLeftCell="A18" activePane="bottomLeft" state="frozen"/>
      <selection pane="bottomLeft" activeCell="G25" sqref="G25"/>
    </sheetView>
  </sheetViews>
  <sheetFormatPr defaultColWidth="9.140625" defaultRowHeight="15" x14ac:dyDescent="0.25"/>
  <cols>
    <col min="1" max="1" width="9.140625" style="38"/>
    <col min="2" max="2" width="49.7109375" style="1" bestFit="1" customWidth="1"/>
    <col min="3" max="3" width="9.140625" style="38" customWidth="1"/>
    <col min="4" max="4" width="9.140625" style="38"/>
    <col min="5" max="5" width="12.140625" style="39" bestFit="1" customWidth="1"/>
    <col min="6" max="6" width="12.140625" style="39" customWidth="1"/>
    <col min="7" max="7" width="15" style="115" customWidth="1"/>
    <col min="8" max="9" width="15" style="115" hidden="1" customWidth="1"/>
    <col min="10" max="10" width="15" style="39" hidden="1" customWidth="1"/>
    <col min="11" max="11" width="0" style="39" hidden="1" customWidth="1"/>
    <col min="12" max="12" width="12.42578125" style="39" hidden="1" customWidth="1"/>
    <col min="13" max="13" width="11.85546875" style="115" customWidth="1"/>
    <col min="14" max="14" width="12" style="39" customWidth="1"/>
    <col min="15" max="15" width="45.7109375" style="39" bestFit="1" customWidth="1"/>
    <col min="16" max="16384" width="9.140625" style="39"/>
  </cols>
  <sheetData>
    <row r="1" spans="1:14" x14ac:dyDescent="0.25">
      <c r="A1" s="271" t="s">
        <v>153</v>
      </c>
      <c r="B1" s="271"/>
      <c r="C1" s="271"/>
      <c r="D1" s="271"/>
      <c r="E1" s="271"/>
      <c r="F1" s="271"/>
      <c r="G1" s="271"/>
      <c r="H1" s="154"/>
      <c r="I1" s="154"/>
      <c r="J1" s="93"/>
    </row>
    <row r="2" spans="1:14" x14ac:dyDescent="0.25">
      <c r="A2" s="271" t="s">
        <v>40</v>
      </c>
      <c r="B2" s="271"/>
      <c r="C2" s="271"/>
      <c r="D2" s="271"/>
      <c r="E2" s="271"/>
      <c r="F2" s="271"/>
      <c r="G2" s="271"/>
      <c r="H2" s="154"/>
      <c r="I2" s="154"/>
      <c r="J2" s="93"/>
    </row>
    <row r="3" spans="1:14" x14ac:dyDescent="0.25">
      <c r="A3" s="93"/>
      <c r="B3" s="71"/>
      <c r="C3" s="93"/>
      <c r="D3" s="93"/>
      <c r="E3" s="93"/>
      <c r="F3" s="212"/>
      <c r="G3" s="105"/>
      <c r="H3" s="105"/>
      <c r="I3" s="105"/>
      <c r="J3" s="93"/>
    </row>
    <row r="4" spans="1:14" hidden="1" x14ac:dyDescent="0.25">
      <c r="A4" s="93"/>
      <c r="B4" s="72" t="s">
        <v>107</v>
      </c>
      <c r="C4" s="74">
        <v>23.2</v>
      </c>
      <c r="D4" s="93"/>
      <c r="E4" s="93"/>
      <c r="F4" s="212"/>
      <c r="G4" s="105"/>
      <c r="H4" s="105"/>
      <c r="I4" s="105"/>
      <c r="J4" s="93"/>
    </row>
    <row r="5" spans="1:14" hidden="1" x14ac:dyDescent="0.25">
      <c r="A5" s="93"/>
      <c r="B5" s="72" t="s">
        <v>106</v>
      </c>
      <c r="C5" s="74">
        <v>4.3</v>
      </c>
      <c r="D5" s="93"/>
      <c r="E5" s="93"/>
      <c r="F5" s="212"/>
      <c r="G5" s="105"/>
      <c r="H5" s="105"/>
      <c r="I5" s="105"/>
      <c r="J5" s="93"/>
    </row>
    <row r="6" spans="1:14" hidden="1" x14ac:dyDescent="0.25">
      <c r="A6" s="166"/>
      <c r="B6" s="167" t="s">
        <v>99</v>
      </c>
      <c r="C6" s="168">
        <f>23.2+4.3+4.3+4.3+4.3+1.5</f>
        <v>41.9</v>
      </c>
      <c r="D6" s="166"/>
      <c r="E6" s="166"/>
      <c r="F6" s="166"/>
      <c r="G6" s="169"/>
      <c r="H6" s="169"/>
      <c r="I6" s="169"/>
      <c r="J6" s="93"/>
    </row>
    <row r="7" spans="1:14" hidden="1" x14ac:dyDescent="0.25">
      <c r="A7" s="166"/>
      <c r="B7" s="167" t="s">
        <v>102</v>
      </c>
      <c r="C7" s="168">
        <v>10</v>
      </c>
      <c r="D7" s="166"/>
      <c r="E7" s="166"/>
      <c r="F7" s="166"/>
      <c r="G7" s="169"/>
      <c r="H7" s="169"/>
      <c r="I7" s="169"/>
      <c r="J7" s="93"/>
    </row>
    <row r="8" spans="1:14" hidden="1" x14ac:dyDescent="0.25">
      <c r="A8" s="166"/>
      <c r="B8" s="167" t="s">
        <v>104</v>
      </c>
      <c r="C8" s="170">
        <f>C6/3</f>
        <v>13.966666666666667</v>
      </c>
      <c r="D8" s="166"/>
      <c r="E8" s="166"/>
      <c r="F8" s="166"/>
      <c r="G8" s="169"/>
      <c r="H8" s="169"/>
      <c r="I8" s="169"/>
      <c r="J8" s="93"/>
    </row>
    <row r="9" spans="1:14" hidden="1" x14ac:dyDescent="0.25">
      <c r="A9" s="166"/>
      <c r="B9" s="171" t="s">
        <v>100</v>
      </c>
      <c r="C9" s="168">
        <f>4*4</f>
        <v>16</v>
      </c>
      <c r="D9" s="166"/>
      <c r="E9" s="166"/>
      <c r="F9" s="166"/>
      <c r="G9" s="169"/>
      <c r="H9" s="169"/>
      <c r="I9" s="169"/>
      <c r="J9" s="93"/>
    </row>
    <row r="10" spans="1:14" hidden="1" x14ac:dyDescent="0.25">
      <c r="A10" s="172"/>
      <c r="B10" s="171" t="s">
        <v>101</v>
      </c>
      <c r="C10" s="173">
        <f>(2*(24+31))-3-4.3-23.2</f>
        <v>79.5</v>
      </c>
      <c r="D10" s="172"/>
      <c r="E10" s="174"/>
      <c r="F10" s="174"/>
      <c r="G10" s="175"/>
      <c r="H10" s="175"/>
      <c r="I10" s="175"/>
      <c r="J10" s="75"/>
      <c r="K10" s="76"/>
      <c r="L10" s="76"/>
      <c r="M10" s="225"/>
      <c r="N10" s="76"/>
    </row>
    <row r="11" spans="1:14" hidden="1" x14ac:dyDescent="0.25">
      <c r="A11" s="172"/>
      <c r="B11" s="171" t="s">
        <v>103</v>
      </c>
      <c r="C11" s="176">
        <f>C10/2</f>
        <v>39.75</v>
      </c>
      <c r="D11" s="172"/>
      <c r="E11" s="174"/>
      <c r="F11" s="174"/>
      <c r="G11" s="175"/>
      <c r="H11" s="175"/>
      <c r="I11" s="175"/>
      <c r="J11" s="75"/>
      <c r="K11" s="76"/>
      <c r="L11" s="76"/>
      <c r="M11" s="225"/>
      <c r="N11" s="76"/>
    </row>
    <row r="12" spans="1:14" hidden="1" x14ac:dyDescent="0.25">
      <c r="A12" s="172"/>
      <c r="B12" s="167" t="s">
        <v>108</v>
      </c>
      <c r="C12" s="176">
        <v>15</v>
      </c>
      <c r="D12" s="172"/>
      <c r="E12" s="174"/>
      <c r="F12" s="174"/>
      <c r="G12" s="175"/>
      <c r="H12" s="175"/>
      <c r="I12" s="175"/>
      <c r="J12" s="75"/>
      <c r="K12" s="76"/>
      <c r="L12" s="76"/>
      <c r="M12" s="225"/>
      <c r="N12" s="76"/>
    </row>
    <row r="13" spans="1:14" hidden="1" x14ac:dyDescent="0.25">
      <c r="A13" s="172"/>
      <c r="B13" s="167" t="s">
        <v>109</v>
      </c>
      <c r="C13" s="176">
        <v>8</v>
      </c>
      <c r="D13" s="172"/>
      <c r="E13" s="174"/>
      <c r="F13" s="174"/>
      <c r="G13" s="175"/>
      <c r="H13" s="175"/>
      <c r="I13" s="175"/>
      <c r="J13" s="75"/>
      <c r="K13" s="76"/>
      <c r="L13" s="76"/>
      <c r="M13" s="225"/>
      <c r="N13" s="76"/>
    </row>
    <row r="14" spans="1:14" hidden="1" x14ac:dyDescent="0.25">
      <c r="A14" s="172"/>
      <c r="B14" s="167" t="s">
        <v>110</v>
      </c>
      <c r="C14" s="176">
        <v>0</v>
      </c>
      <c r="D14" s="172"/>
      <c r="E14" s="174"/>
      <c r="F14" s="174"/>
      <c r="G14" s="175"/>
      <c r="H14" s="175"/>
      <c r="I14" s="175"/>
      <c r="J14" s="75"/>
      <c r="K14" s="76"/>
      <c r="L14" s="76"/>
      <c r="M14" s="225"/>
      <c r="N14" s="76"/>
    </row>
    <row r="15" spans="1:14" hidden="1" x14ac:dyDescent="0.25">
      <c r="A15" s="172"/>
      <c r="B15" s="167" t="s">
        <v>111</v>
      </c>
      <c r="C15" s="176">
        <v>0</v>
      </c>
      <c r="D15" s="172"/>
      <c r="E15" s="174"/>
      <c r="F15" s="174"/>
      <c r="G15" s="175"/>
      <c r="H15" s="175"/>
      <c r="I15" s="175"/>
      <c r="J15" s="75"/>
      <c r="K15" s="76"/>
      <c r="L15" s="76"/>
      <c r="M15" s="225"/>
      <c r="N15" s="76"/>
    </row>
    <row r="16" spans="1:14" x14ac:dyDescent="0.25">
      <c r="A16" s="166"/>
      <c r="B16" s="172"/>
      <c r="C16" s="166"/>
      <c r="D16" s="166"/>
      <c r="E16" s="166"/>
      <c r="F16" s="166"/>
      <c r="G16" s="169"/>
      <c r="H16" s="169"/>
      <c r="I16" s="169"/>
      <c r="J16" s="93"/>
      <c r="M16" s="272" t="s">
        <v>162</v>
      </c>
      <c r="N16" s="272"/>
    </row>
    <row r="17" spans="1:16" s="40" customFormat="1" ht="30" x14ac:dyDescent="0.25">
      <c r="A17" s="177" t="s">
        <v>0</v>
      </c>
      <c r="B17" s="178" t="s">
        <v>1</v>
      </c>
      <c r="C17" s="177" t="s">
        <v>2</v>
      </c>
      <c r="D17" s="177" t="s">
        <v>3</v>
      </c>
      <c r="E17" s="177" t="s">
        <v>4</v>
      </c>
      <c r="F17" s="177" t="s">
        <v>164</v>
      </c>
      <c r="G17" s="179" t="s">
        <v>5</v>
      </c>
      <c r="H17" s="179"/>
      <c r="I17" s="179"/>
      <c r="J17" s="35"/>
      <c r="K17" s="96"/>
      <c r="L17" s="155"/>
      <c r="M17" s="226" t="s">
        <v>161</v>
      </c>
      <c r="N17" s="162" t="s">
        <v>5</v>
      </c>
    </row>
    <row r="18" spans="1:16" s="40" customFormat="1" x14ac:dyDescent="0.25">
      <c r="A18" s="180">
        <v>1</v>
      </c>
      <c r="B18" s="181" t="s">
        <v>36</v>
      </c>
      <c r="C18" s="180"/>
      <c r="D18" s="180"/>
      <c r="E18" s="180"/>
      <c r="F18" s="180"/>
      <c r="G18" s="182"/>
      <c r="H18" s="182"/>
      <c r="I18" s="182"/>
      <c r="J18" s="35"/>
      <c r="K18" s="96"/>
      <c r="L18" s="155"/>
      <c r="M18" s="213"/>
      <c r="N18" s="163"/>
      <c r="O18" s="35"/>
    </row>
    <row r="19" spans="1:16" s="40" customFormat="1" x14ac:dyDescent="0.25">
      <c r="A19" s="183">
        <v>1.1000000000000001</v>
      </c>
      <c r="B19" s="184" t="s">
        <v>37</v>
      </c>
      <c r="C19" s="183" t="s">
        <v>7</v>
      </c>
      <c r="D19" s="219">
        <v>1</v>
      </c>
      <c r="E19" s="183">
        <v>5000</v>
      </c>
      <c r="F19" s="185">
        <f>+G19/D19</f>
        <v>5000</v>
      </c>
      <c r="G19" s="185">
        <v>5000</v>
      </c>
      <c r="H19" s="222">
        <f t="shared" ref="H19:H27" si="0">+D19*E19</f>
        <v>5000</v>
      </c>
      <c r="I19" s="222">
        <f>+H19-G19</f>
        <v>0</v>
      </c>
      <c r="J19" s="97"/>
      <c r="K19" s="96"/>
      <c r="L19" s="155"/>
      <c r="M19" s="227">
        <v>1</v>
      </c>
      <c r="N19" s="163">
        <f t="shared" ref="N19:N50" si="1">+M19*F19</f>
        <v>5000</v>
      </c>
      <c r="O19" s="97"/>
      <c r="P19" s="232">
        <f>+M19/D19</f>
        <v>1</v>
      </c>
    </row>
    <row r="20" spans="1:16" s="40" customFormat="1" ht="45" x14ac:dyDescent="0.25">
      <c r="A20" s="183">
        <v>1.2</v>
      </c>
      <c r="B20" s="184" t="s">
        <v>147</v>
      </c>
      <c r="C20" s="183" t="s">
        <v>7</v>
      </c>
      <c r="D20" s="219">
        <v>1</v>
      </c>
      <c r="E20" s="183">
        <v>2500</v>
      </c>
      <c r="F20" s="185">
        <f t="shared" ref="F20:F83" si="2">+G20/D20</f>
        <v>2500</v>
      </c>
      <c r="G20" s="185">
        <v>2500</v>
      </c>
      <c r="H20" s="222">
        <f t="shared" si="0"/>
        <v>2500</v>
      </c>
      <c r="I20" s="222">
        <f t="shared" ref="I20:I83" si="3">+H20-G20</f>
        <v>0</v>
      </c>
      <c r="J20" s="97"/>
      <c r="K20" s="96"/>
      <c r="L20" s="155"/>
      <c r="M20" s="227">
        <v>0.5</v>
      </c>
      <c r="N20" s="163">
        <f t="shared" si="1"/>
        <v>1250</v>
      </c>
      <c r="O20" s="97"/>
      <c r="P20" s="232">
        <f>+M20/D20</f>
        <v>0.5</v>
      </c>
    </row>
    <row r="21" spans="1:16" s="40" customFormat="1" x14ac:dyDescent="0.25">
      <c r="A21" s="83"/>
      <c r="B21" s="86"/>
      <c r="C21" s="83"/>
      <c r="D21" s="83"/>
      <c r="E21" s="83"/>
      <c r="F21" s="185"/>
      <c r="G21" s="116">
        <v>7500</v>
      </c>
      <c r="H21" s="222">
        <f t="shared" si="0"/>
        <v>0</v>
      </c>
      <c r="I21" s="222"/>
      <c r="J21" s="35"/>
      <c r="K21" s="96"/>
      <c r="L21" s="155"/>
      <c r="M21" s="227"/>
      <c r="N21" s="163">
        <f t="shared" si="1"/>
        <v>0</v>
      </c>
      <c r="O21" s="35"/>
      <c r="P21" s="232"/>
    </row>
    <row r="22" spans="1:16" x14ac:dyDescent="0.25">
      <c r="A22" s="83">
        <v>2</v>
      </c>
      <c r="B22" s="86" t="s">
        <v>138</v>
      </c>
      <c r="C22" s="30"/>
      <c r="D22" s="30"/>
      <c r="E22" s="30"/>
      <c r="F22" s="185"/>
      <c r="G22" s="185"/>
      <c r="H22" s="222">
        <f t="shared" si="0"/>
        <v>0</v>
      </c>
      <c r="I22" s="222">
        <f t="shared" si="3"/>
        <v>0</v>
      </c>
      <c r="J22" s="98"/>
      <c r="K22" s="99"/>
      <c r="L22" s="156"/>
      <c r="M22" s="227"/>
      <c r="N22" s="163">
        <f t="shared" si="1"/>
        <v>0</v>
      </c>
      <c r="O22" s="98"/>
      <c r="P22" s="232"/>
    </row>
    <row r="23" spans="1:16" ht="45" x14ac:dyDescent="0.25">
      <c r="A23" s="183">
        <v>2.1</v>
      </c>
      <c r="B23" s="46" t="s">
        <v>148</v>
      </c>
      <c r="C23" s="30" t="s">
        <v>7</v>
      </c>
      <c r="D23" s="220">
        <v>1</v>
      </c>
      <c r="E23" s="30">
        <v>2500</v>
      </c>
      <c r="F23" s="185">
        <f t="shared" si="2"/>
        <v>2500</v>
      </c>
      <c r="G23" s="185">
        <v>2500</v>
      </c>
      <c r="H23" s="222">
        <f t="shared" si="0"/>
        <v>2500</v>
      </c>
      <c r="I23" s="222">
        <f t="shared" si="3"/>
        <v>0</v>
      </c>
      <c r="J23" s="98"/>
      <c r="K23" s="99"/>
      <c r="L23" s="156"/>
      <c r="M23" s="227">
        <v>1</v>
      </c>
      <c r="N23" s="163">
        <f t="shared" si="1"/>
        <v>2500</v>
      </c>
      <c r="O23" s="98"/>
      <c r="P23" s="232">
        <f>+M23/D23</f>
        <v>1</v>
      </c>
    </row>
    <row r="24" spans="1:16" x14ac:dyDescent="0.25">
      <c r="A24" s="183"/>
      <c r="B24" s="186" t="s">
        <v>139</v>
      </c>
      <c r="C24" s="30"/>
      <c r="D24" s="30"/>
      <c r="E24" s="30"/>
      <c r="F24" s="185"/>
      <c r="G24" s="185"/>
      <c r="H24" s="222">
        <f t="shared" si="0"/>
        <v>0</v>
      </c>
      <c r="I24" s="222">
        <f t="shared" si="3"/>
        <v>0</v>
      </c>
      <c r="J24" s="98"/>
      <c r="K24" s="99"/>
      <c r="L24" s="156"/>
      <c r="M24" s="227"/>
      <c r="N24" s="163">
        <f t="shared" si="1"/>
        <v>0</v>
      </c>
      <c r="O24" s="98"/>
      <c r="P24" s="232"/>
    </row>
    <row r="25" spans="1:16" ht="30" x14ac:dyDescent="0.25">
      <c r="A25" s="183">
        <v>2.2000000000000002</v>
      </c>
      <c r="B25" s="46" t="s">
        <v>141</v>
      </c>
      <c r="C25" s="30" t="s">
        <v>7</v>
      </c>
      <c r="D25" s="126">
        <v>20</v>
      </c>
      <c r="E25" s="30">
        <v>250</v>
      </c>
      <c r="F25" s="185">
        <f t="shared" si="2"/>
        <v>250</v>
      </c>
      <c r="G25" s="185">
        <v>5000</v>
      </c>
      <c r="H25" s="222">
        <f t="shared" si="0"/>
        <v>5000</v>
      </c>
      <c r="I25" s="222">
        <f t="shared" si="3"/>
        <v>0</v>
      </c>
      <c r="J25" s="98"/>
      <c r="K25" s="99"/>
      <c r="L25" s="156"/>
      <c r="M25" s="227">
        <f>+D25</f>
        <v>20</v>
      </c>
      <c r="N25" s="163">
        <f t="shared" si="1"/>
        <v>5000</v>
      </c>
      <c r="O25" s="98"/>
      <c r="P25" s="232">
        <f>+M25/D25</f>
        <v>1</v>
      </c>
    </row>
    <row r="26" spans="1:16" x14ac:dyDescent="0.25">
      <c r="A26" s="183">
        <v>2.2999999999999998</v>
      </c>
      <c r="B26" s="46" t="s">
        <v>146</v>
      </c>
      <c r="C26" s="30" t="s">
        <v>20</v>
      </c>
      <c r="D26" s="126">
        <f>5.4+2</f>
        <v>7.4</v>
      </c>
      <c r="E26" s="30">
        <v>500</v>
      </c>
      <c r="F26" s="185">
        <f t="shared" si="2"/>
        <v>500</v>
      </c>
      <c r="G26" s="185">
        <v>3700</v>
      </c>
      <c r="H26" s="222">
        <f t="shared" si="0"/>
        <v>3700</v>
      </c>
      <c r="I26" s="222">
        <f t="shared" si="3"/>
        <v>0</v>
      </c>
      <c r="J26" s="98"/>
      <c r="K26" s="99"/>
      <c r="L26" s="157">
        <f>G26</f>
        <v>3700</v>
      </c>
      <c r="M26" s="227">
        <f>+D26</f>
        <v>7.4</v>
      </c>
      <c r="N26" s="163">
        <f t="shared" si="1"/>
        <v>3700</v>
      </c>
      <c r="O26" s="98"/>
      <c r="P26" s="232">
        <f>+M26/D26</f>
        <v>1</v>
      </c>
    </row>
    <row r="27" spans="1:16" x14ac:dyDescent="0.25">
      <c r="A27" s="30"/>
      <c r="B27" s="186" t="s">
        <v>140</v>
      </c>
      <c r="C27" s="30"/>
      <c r="D27" s="30"/>
      <c r="E27" s="30"/>
      <c r="F27" s="185"/>
      <c r="G27" s="185"/>
      <c r="H27" s="222">
        <f t="shared" si="0"/>
        <v>0</v>
      </c>
      <c r="I27" s="222">
        <f t="shared" si="3"/>
        <v>0</v>
      </c>
      <c r="J27" s="98"/>
      <c r="K27" s="99"/>
      <c r="L27" s="156"/>
      <c r="M27" s="227"/>
      <c r="N27" s="163">
        <f t="shared" si="1"/>
        <v>0</v>
      </c>
      <c r="O27" s="98"/>
      <c r="P27" s="232"/>
    </row>
    <row r="28" spans="1:16" ht="30" x14ac:dyDescent="0.25">
      <c r="A28" s="30">
        <v>2.4</v>
      </c>
      <c r="B28" s="46" t="s">
        <v>142</v>
      </c>
      <c r="C28" s="30" t="s">
        <v>20</v>
      </c>
      <c r="D28" s="126">
        <f>2*(18+12)</f>
        <v>60</v>
      </c>
      <c r="E28" s="30">
        <v>25</v>
      </c>
      <c r="F28" s="185">
        <f t="shared" si="2"/>
        <v>25</v>
      </c>
      <c r="G28" s="185">
        <v>1500</v>
      </c>
      <c r="H28" s="222">
        <f>+D28*E28</f>
        <v>1500</v>
      </c>
      <c r="I28" s="222">
        <f t="shared" si="3"/>
        <v>0</v>
      </c>
      <c r="J28" s="98"/>
      <c r="K28" s="99"/>
      <c r="L28" s="156"/>
      <c r="M28" s="227">
        <f>+D28</f>
        <v>60</v>
      </c>
      <c r="N28" s="163">
        <f t="shared" si="1"/>
        <v>1500</v>
      </c>
      <c r="O28" s="98"/>
      <c r="P28" s="232">
        <f>+M28/D28</f>
        <v>1</v>
      </c>
    </row>
    <row r="29" spans="1:16" x14ac:dyDescent="0.25">
      <c r="A29" s="30"/>
      <c r="B29" s="187"/>
      <c r="C29" s="30"/>
      <c r="D29" s="30"/>
      <c r="E29" s="30"/>
      <c r="F29" s="185"/>
      <c r="G29" s="116">
        <v>12700</v>
      </c>
      <c r="H29" s="222">
        <f t="shared" ref="H29:H92" si="4">+D29*E29</f>
        <v>0</v>
      </c>
      <c r="I29" s="222"/>
      <c r="J29" s="98"/>
      <c r="K29" s="99"/>
      <c r="L29" s="156"/>
      <c r="M29" s="227"/>
      <c r="N29" s="163">
        <f t="shared" si="1"/>
        <v>0</v>
      </c>
      <c r="O29" s="98"/>
      <c r="P29" s="232"/>
    </row>
    <row r="30" spans="1:16" x14ac:dyDescent="0.25">
      <c r="A30" s="83">
        <v>3</v>
      </c>
      <c r="B30" s="86" t="s">
        <v>6</v>
      </c>
      <c r="C30" s="30"/>
      <c r="D30" s="30"/>
      <c r="E30" s="30"/>
      <c r="F30" s="185"/>
      <c r="G30" s="185"/>
      <c r="H30" s="222">
        <f t="shared" si="4"/>
        <v>0</v>
      </c>
      <c r="I30" s="222">
        <f t="shared" si="3"/>
        <v>0</v>
      </c>
      <c r="J30" s="98"/>
      <c r="K30" s="99"/>
      <c r="L30" s="156"/>
      <c r="M30" s="227"/>
      <c r="N30" s="163">
        <f t="shared" si="1"/>
        <v>0</v>
      </c>
      <c r="O30" s="98"/>
      <c r="P30" s="232"/>
    </row>
    <row r="31" spans="1:16" x14ac:dyDescent="0.25">
      <c r="A31" s="183"/>
      <c r="B31" s="186" t="s">
        <v>8</v>
      </c>
      <c r="C31" s="30"/>
      <c r="D31" s="30"/>
      <c r="E31" s="30"/>
      <c r="F31" s="185"/>
      <c r="G31" s="185"/>
      <c r="H31" s="222">
        <f t="shared" si="4"/>
        <v>0</v>
      </c>
      <c r="I31" s="222">
        <f t="shared" si="3"/>
        <v>0</v>
      </c>
      <c r="J31" s="98"/>
      <c r="K31" s="99"/>
      <c r="L31" s="156"/>
      <c r="M31" s="227"/>
      <c r="N31" s="163">
        <f t="shared" si="1"/>
        <v>0</v>
      </c>
      <c r="O31" s="98"/>
      <c r="P31" s="232"/>
    </row>
    <row r="32" spans="1:16" x14ac:dyDescent="0.25">
      <c r="A32" s="183">
        <v>3.1</v>
      </c>
      <c r="B32" s="46" t="s">
        <v>98</v>
      </c>
      <c r="C32" s="30" t="s">
        <v>9</v>
      </c>
      <c r="D32" s="223">
        <f>(((0.3*0.15)+(0.4*0.15))*C6)+(C7*0.55*0.3*0.3)</f>
        <v>4.8944999999999999</v>
      </c>
      <c r="E32" s="30">
        <v>150</v>
      </c>
      <c r="F32" s="185">
        <f t="shared" si="2"/>
        <v>449.58627030340182</v>
      </c>
      <c r="G32" s="185">
        <v>2200.5</v>
      </c>
      <c r="H32" s="222">
        <f t="shared" si="4"/>
        <v>734.17499999999995</v>
      </c>
      <c r="I32" s="222">
        <f t="shared" si="3"/>
        <v>-1466.325</v>
      </c>
      <c r="J32" s="98"/>
      <c r="K32" s="99"/>
      <c r="L32" s="156"/>
      <c r="M32" s="228">
        <f>+D32</f>
        <v>4.8944999999999999</v>
      </c>
      <c r="N32" s="163">
        <f t="shared" si="1"/>
        <v>2200.5</v>
      </c>
      <c r="O32" s="98"/>
      <c r="P32" s="232">
        <f t="shared" ref="P32:P37" si="5">+M32/D32</f>
        <v>1</v>
      </c>
    </row>
    <row r="33" spans="1:16" x14ac:dyDescent="0.25">
      <c r="A33" s="183">
        <v>3.2</v>
      </c>
      <c r="B33" s="46" t="s">
        <v>105</v>
      </c>
      <c r="C33" s="30" t="s">
        <v>9</v>
      </c>
      <c r="D33" s="85">
        <f>((0.15*0.3)+(0.4*0.15))*C10</f>
        <v>8.3475000000000001</v>
      </c>
      <c r="E33" s="30">
        <v>150</v>
      </c>
      <c r="F33" s="185">
        <f t="shared" si="2"/>
        <v>450.13477088948787</v>
      </c>
      <c r="G33" s="185">
        <v>3757.5</v>
      </c>
      <c r="H33" s="222">
        <f t="shared" si="4"/>
        <v>1252.125</v>
      </c>
      <c r="I33" s="222">
        <f t="shared" si="3"/>
        <v>-2505.375</v>
      </c>
      <c r="J33" s="98"/>
      <c r="K33" s="99"/>
      <c r="L33" s="156"/>
      <c r="M33" s="227">
        <f>+D33</f>
        <v>8.3475000000000001</v>
      </c>
      <c r="N33" s="163">
        <f t="shared" si="1"/>
        <v>3757.5</v>
      </c>
      <c r="O33" s="98"/>
      <c r="P33" s="232">
        <f t="shared" si="5"/>
        <v>1</v>
      </c>
    </row>
    <row r="34" spans="1:16" x14ac:dyDescent="0.25">
      <c r="A34" s="183">
        <v>3.4</v>
      </c>
      <c r="B34" s="46" t="s">
        <v>10</v>
      </c>
      <c r="C34" s="30" t="s">
        <v>9</v>
      </c>
      <c r="D34" s="129">
        <f>0.4*0.4*0.4*2</f>
        <v>0.12800000000000003</v>
      </c>
      <c r="E34" s="30">
        <v>150</v>
      </c>
      <c r="F34" s="185">
        <f t="shared" si="2"/>
        <v>457.03124999999989</v>
      </c>
      <c r="G34" s="185">
        <v>58.5</v>
      </c>
      <c r="H34" s="222">
        <f t="shared" si="4"/>
        <v>19.200000000000003</v>
      </c>
      <c r="I34" s="222">
        <f t="shared" si="3"/>
        <v>-39.299999999999997</v>
      </c>
      <c r="J34" s="98"/>
      <c r="K34" s="99"/>
      <c r="L34" s="156"/>
      <c r="M34" s="227">
        <v>0</v>
      </c>
      <c r="N34" s="163">
        <f t="shared" si="1"/>
        <v>0</v>
      </c>
      <c r="O34" s="98"/>
      <c r="P34" s="232">
        <f t="shared" si="5"/>
        <v>0</v>
      </c>
    </row>
    <row r="35" spans="1:16" x14ac:dyDescent="0.25">
      <c r="A35" s="183">
        <v>3.5</v>
      </c>
      <c r="B35" s="46" t="s">
        <v>11</v>
      </c>
      <c r="C35" s="30" t="s">
        <v>12</v>
      </c>
      <c r="D35" s="85">
        <f>(C4*C5)+(C12*C13)+(C14*C15)</f>
        <v>219.76</v>
      </c>
      <c r="E35" s="30">
        <v>35</v>
      </c>
      <c r="F35" s="185">
        <f t="shared" si="2"/>
        <v>70</v>
      </c>
      <c r="G35" s="185">
        <v>15383.2</v>
      </c>
      <c r="H35" s="222">
        <f t="shared" si="4"/>
        <v>7691.5999999999995</v>
      </c>
      <c r="I35" s="222">
        <f t="shared" si="3"/>
        <v>-7691.6000000000013</v>
      </c>
      <c r="J35" s="98"/>
      <c r="K35" s="99"/>
      <c r="L35" s="156"/>
      <c r="M35" s="227">
        <f>+D35</f>
        <v>219.76</v>
      </c>
      <c r="N35" s="163">
        <f t="shared" si="1"/>
        <v>15383.199999999999</v>
      </c>
      <c r="O35" s="98"/>
      <c r="P35" s="232">
        <f t="shared" si="5"/>
        <v>1</v>
      </c>
    </row>
    <row r="36" spans="1:16" x14ac:dyDescent="0.25">
      <c r="A36" s="183">
        <v>3.6</v>
      </c>
      <c r="B36" s="46" t="s">
        <v>55</v>
      </c>
      <c r="C36" s="30" t="s">
        <v>9</v>
      </c>
      <c r="D36" s="188">
        <f>1*2*3</f>
        <v>6</v>
      </c>
      <c r="E36" s="30">
        <v>150</v>
      </c>
      <c r="F36" s="185">
        <f t="shared" si="2"/>
        <v>450</v>
      </c>
      <c r="G36" s="185">
        <v>2700</v>
      </c>
      <c r="H36" s="222">
        <f t="shared" si="4"/>
        <v>900</v>
      </c>
      <c r="I36" s="222">
        <f t="shared" si="3"/>
        <v>-1800</v>
      </c>
      <c r="J36" s="98"/>
      <c r="K36" s="99"/>
      <c r="L36" s="156"/>
      <c r="M36" s="227">
        <f>+D36</f>
        <v>6</v>
      </c>
      <c r="N36" s="163">
        <f t="shared" si="1"/>
        <v>2700</v>
      </c>
      <c r="O36" s="98"/>
      <c r="P36" s="232">
        <f t="shared" si="5"/>
        <v>1</v>
      </c>
    </row>
    <row r="37" spans="1:16" x14ac:dyDescent="0.25">
      <c r="A37" s="183">
        <v>3.7</v>
      </c>
      <c r="B37" s="189" t="s">
        <v>17</v>
      </c>
      <c r="C37" s="30" t="s">
        <v>7</v>
      </c>
      <c r="D37" s="30">
        <v>1</v>
      </c>
      <c r="E37" s="30">
        <v>2500</v>
      </c>
      <c r="F37" s="185">
        <f t="shared" si="2"/>
        <v>2500</v>
      </c>
      <c r="G37" s="185">
        <v>2500</v>
      </c>
      <c r="H37" s="222">
        <f t="shared" si="4"/>
        <v>2500</v>
      </c>
      <c r="I37" s="222">
        <f t="shared" si="3"/>
        <v>0</v>
      </c>
      <c r="J37" s="98"/>
      <c r="K37" s="99"/>
      <c r="L37" s="156"/>
      <c r="M37" s="227">
        <f>+D37</f>
        <v>1</v>
      </c>
      <c r="N37" s="163">
        <f t="shared" si="1"/>
        <v>2500</v>
      </c>
      <c r="O37" s="98"/>
      <c r="P37" s="232">
        <f t="shared" si="5"/>
        <v>1</v>
      </c>
    </row>
    <row r="38" spans="1:16" x14ac:dyDescent="0.25">
      <c r="A38" s="30"/>
      <c r="B38" s="187"/>
      <c r="C38" s="30"/>
      <c r="D38" s="30"/>
      <c r="E38" s="30"/>
      <c r="F38" s="185"/>
      <c r="G38" s="116">
        <v>23899.7</v>
      </c>
      <c r="H38" s="222">
        <f t="shared" si="4"/>
        <v>0</v>
      </c>
      <c r="I38" s="222"/>
      <c r="J38" s="98"/>
      <c r="K38" s="99"/>
      <c r="L38" s="156"/>
      <c r="M38" s="227"/>
      <c r="N38" s="163">
        <f t="shared" si="1"/>
        <v>0</v>
      </c>
      <c r="O38" s="98"/>
      <c r="P38" s="232"/>
    </row>
    <row r="39" spans="1:16" x14ac:dyDescent="0.25">
      <c r="A39" s="83">
        <v>4</v>
      </c>
      <c r="B39" s="86" t="s">
        <v>13</v>
      </c>
      <c r="C39" s="30"/>
      <c r="D39" s="30"/>
      <c r="E39" s="30"/>
      <c r="F39" s="185"/>
      <c r="G39" s="185"/>
      <c r="H39" s="222">
        <f t="shared" si="4"/>
        <v>0</v>
      </c>
      <c r="I39" s="222">
        <f t="shared" si="3"/>
        <v>0</v>
      </c>
      <c r="J39" s="98"/>
      <c r="K39" s="99"/>
      <c r="L39" s="156"/>
      <c r="M39" s="227"/>
      <c r="N39" s="163">
        <f t="shared" si="1"/>
        <v>0</v>
      </c>
      <c r="O39" s="98"/>
      <c r="P39" s="232"/>
    </row>
    <row r="40" spans="1:16" ht="45" x14ac:dyDescent="0.25">
      <c r="A40" s="83"/>
      <c r="B40" s="186" t="s">
        <v>89</v>
      </c>
      <c r="C40" s="30"/>
      <c r="D40" s="30"/>
      <c r="E40" s="30"/>
      <c r="F40" s="185"/>
      <c r="G40" s="185"/>
      <c r="H40" s="222">
        <f t="shared" si="4"/>
        <v>0</v>
      </c>
      <c r="I40" s="222">
        <f t="shared" si="3"/>
        <v>0</v>
      </c>
      <c r="J40" s="98"/>
      <c r="K40" s="99"/>
      <c r="L40" s="156"/>
      <c r="M40" s="227"/>
      <c r="N40" s="163">
        <f t="shared" si="1"/>
        <v>0</v>
      </c>
      <c r="O40" s="98" t="s">
        <v>165</v>
      </c>
      <c r="P40" s="232"/>
    </row>
    <row r="41" spans="1:16" ht="60" x14ac:dyDescent="0.25">
      <c r="A41" s="183">
        <v>4.0999999999999996</v>
      </c>
      <c r="B41" s="46" t="s">
        <v>86</v>
      </c>
      <c r="C41" s="30" t="s">
        <v>9</v>
      </c>
      <c r="D41" s="85">
        <f>0.1*C4*C5</f>
        <v>9.9759999999999991</v>
      </c>
      <c r="E41" s="30">
        <v>250</v>
      </c>
      <c r="F41" s="185">
        <f t="shared" si="2"/>
        <v>750.30072173215729</v>
      </c>
      <c r="G41" s="185">
        <v>7485</v>
      </c>
      <c r="H41" s="222">
        <f t="shared" si="4"/>
        <v>2494</v>
      </c>
      <c r="I41" s="222">
        <f t="shared" si="3"/>
        <v>-4991</v>
      </c>
      <c r="J41" s="100"/>
      <c r="K41" s="99"/>
      <c r="L41" s="156"/>
      <c r="M41" s="216">
        <f>+D41</f>
        <v>9.9759999999999991</v>
      </c>
      <c r="N41" s="163">
        <f t="shared" si="1"/>
        <v>7485</v>
      </c>
      <c r="O41" s="100" t="s">
        <v>166</v>
      </c>
      <c r="P41" s="232">
        <f t="shared" ref="P41:P47" si="6">+M41/D41</f>
        <v>1</v>
      </c>
    </row>
    <row r="42" spans="1:16" ht="45" x14ac:dyDescent="0.25">
      <c r="A42" s="183">
        <v>4.2</v>
      </c>
      <c r="B42" s="46" t="s">
        <v>116</v>
      </c>
      <c r="C42" s="30" t="s">
        <v>9</v>
      </c>
      <c r="D42" s="85">
        <f>(C6*0.15*0.3)+(C6*0.2*0.15)-((C6/3)*((0.15*0.3)+(0.2*0.15))*0.15)</f>
        <v>2.9853749999999999</v>
      </c>
      <c r="E42" s="30">
        <v>250</v>
      </c>
      <c r="F42" s="185">
        <f t="shared" si="2"/>
        <v>751.16191433237032</v>
      </c>
      <c r="G42" s="185">
        <v>2242.5</v>
      </c>
      <c r="H42" s="222">
        <f t="shared" si="4"/>
        <v>746.34375</v>
      </c>
      <c r="I42" s="222">
        <f t="shared" si="3"/>
        <v>-1496.15625</v>
      </c>
      <c r="J42" s="100"/>
      <c r="K42" s="99"/>
      <c r="L42" s="156"/>
      <c r="M42" s="227">
        <f>+D42</f>
        <v>2.9853749999999999</v>
      </c>
      <c r="N42" s="163">
        <f t="shared" si="1"/>
        <v>2242.5</v>
      </c>
      <c r="O42" s="100"/>
      <c r="P42" s="232">
        <f t="shared" si="6"/>
        <v>1</v>
      </c>
    </row>
    <row r="43" spans="1:16" ht="45" x14ac:dyDescent="0.25">
      <c r="A43" s="183">
        <v>4.3</v>
      </c>
      <c r="B43" s="46" t="s">
        <v>112</v>
      </c>
      <c r="C43" s="30" t="s">
        <v>9</v>
      </c>
      <c r="D43" s="85">
        <f>(C6*0.15*0.15)-((C6/3)*0.15*0.15*0.15)</f>
        <v>0.89561249999999992</v>
      </c>
      <c r="E43" s="30">
        <v>250</v>
      </c>
      <c r="F43" s="185">
        <f t="shared" si="2"/>
        <v>753.67416153749537</v>
      </c>
      <c r="G43" s="185">
        <v>675</v>
      </c>
      <c r="H43" s="222">
        <f t="shared" si="4"/>
        <v>223.90312499999999</v>
      </c>
      <c r="I43" s="222">
        <f t="shared" si="3"/>
        <v>-451.09687500000001</v>
      </c>
      <c r="J43" s="100"/>
      <c r="K43" s="99"/>
      <c r="L43" s="156"/>
      <c r="M43" s="227">
        <f>+D43</f>
        <v>0.89561249999999992</v>
      </c>
      <c r="N43" s="163">
        <f t="shared" si="1"/>
        <v>675</v>
      </c>
      <c r="O43" s="100"/>
      <c r="P43" s="232">
        <f t="shared" si="6"/>
        <v>1</v>
      </c>
    </row>
    <row r="44" spans="1:16" ht="45" x14ac:dyDescent="0.25">
      <c r="A44" s="183">
        <v>4.4000000000000004</v>
      </c>
      <c r="B44" s="46" t="s">
        <v>113</v>
      </c>
      <c r="C44" s="30" t="s">
        <v>9</v>
      </c>
      <c r="D44" s="85">
        <f>(C6*0.15*0.15)-((C6/3)*0.15*0.15*0.15)</f>
        <v>0.89561249999999992</v>
      </c>
      <c r="E44" s="30">
        <v>250</v>
      </c>
      <c r="F44" s="185">
        <f t="shared" si="2"/>
        <v>753.67416153749537</v>
      </c>
      <c r="G44" s="185">
        <v>675</v>
      </c>
      <c r="H44" s="222">
        <f t="shared" si="4"/>
        <v>223.90312499999999</v>
      </c>
      <c r="I44" s="222">
        <f t="shared" si="3"/>
        <v>-451.09687500000001</v>
      </c>
      <c r="J44" s="100"/>
      <c r="K44" s="99"/>
      <c r="L44" s="156"/>
      <c r="M44" s="227">
        <f>+D44</f>
        <v>0.89561249999999992</v>
      </c>
      <c r="N44" s="163">
        <f t="shared" si="1"/>
        <v>675</v>
      </c>
      <c r="O44" s="100"/>
      <c r="P44" s="232">
        <f t="shared" si="6"/>
        <v>1</v>
      </c>
    </row>
    <row r="45" spans="1:16" ht="45" x14ac:dyDescent="0.25">
      <c r="A45" s="183">
        <v>4.5</v>
      </c>
      <c r="B45" s="46" t="s">
        <v>114</v>
      </c>
      <c r="C45" s="30" t="s">
        <v>9</v>
      </c>
      <c r="D45" s="85">
        <f>((0.15*0.3)+(3.9*0.15))*0.15*(C6/3)</f>
        <v>1.31985</v>
      </c>
      <c r="E45" s="30">
        <v>250</v>
      </c>
      <c r="F45" s="185">
        <f t="shared" si="2"/>
        <v>750.08523695874533</v>
      </c>
      <c r="G45" s="185">
        <v>990</v>
      </c>
      <c r="H45" s="222">
        <f t="shared" si="4"/>
        <v>329.96249999999998</v>
      </c>
      <c r="I45" s="222">
        <f t="shared" si="3"/>
        <v>-660.03750000000002</v>
      </c>
      <c r="J45" s="100"/>
      <c r="K45" s="99"/>
      <c r="L45" s="156"/>
      <c r="M45" s="227">
        <f>+D45</f>
        <v>1.31985</v>
      </c>
      <c r="N45" s="163">
        <f t="shared" si="1"/>
        <v>990</v>
      </c>
      <c r="O45" s="100"/>
      <c r="P45" s="232">
        <f t="shared" si="6"/>
        <v>1</v>
      </c>
    </row>
    <row r="46" spans="1:16" ht="30" x14ac:dyDescent="0.25">
      <c r="A46" s="183">
        <v>4.5999999999999996</v>
      </c>
      <c r="B46" s="46" t="s">
        <v>115</v>
      </c>
      <c r="C46" s="30" t="s">
        <v>9</v>
      </c>
      <c r="D46" s="122">
        <f>2*0.3*1.2*0.85</f>
        <v>0.61199999999999999</v>
      </c>
      <c r="E46" s="30">
        <v>250</v>
      </c>
      <c r="F46" s="185">
        <f t="shared" si="2"/>
        <v>750</v>
      </c>
      <c r="G46" s="185">
        <v>459</v>
      </c>
      <c r="H46" s="222">
        <f t="shared" si="4"/>
        <v>153</v>
      </c>
      <c r="I46" s="222">
        <f t="shared" si="3"/>
        <v>-306</v>
      </c>
      <c r="J46" s="100"/>
      <c r="K46" s="99"/>
      <c r="L46" s="157">
        <f>G46</f>
        <v>459</v>
      </c>
      <c r="M46" s="227">
        <v>0</v>
      </c>
      <c r="N46" s="163">
        <f t="shared" si="1"/>
        <v>0</v>
      </c>
      <c r="O46" s="100" t="s">
        <v>167</v>
      </c>
      <c r="P46" s="232">
        <f t="shared" si="6"/>
        <v>0</v>
      </c>
    </row>
    <row r="47" spans="1:16" ht="45" x14ac:dyDescent="0.25">
      <c r="A47" s="183">
        <v>4.7</v>
      </c>
      <c r="B47" s="46" t="s">
        <v>84</v>
      </c>
      <c r="C47" s="30" t="s">
        <v>9</v>
      </c>
      <c r="D47" s="124">
        <f>0.15*1.2*4</f>
        <v>0.72</v>
      </c>
      <c r="E47" s="30">
        <v>250</v>
      </c>
      <c r="F47" s="185">
        <f t="shared" si="2"/>
        <v>750</v>
      </c>
      <c r="G47" s="185">
        <v>540</v>
      </c>
      <c r="H47" s="222">
        <f t="shared" si="4"/>
        <v>180</v>
      </c>
      <c r="I47" s="222">
        <f t="shared" si="3"/>
        <v>-360</v>
      </c>
      <c r="J47" s="100"/>
      <c r="K47" s="99"/>
      <c r="L47" s="157">
        <f>G47</f>
        <v>540</v>
      </c>
      <c r="M47" s="227">
        <v>0</v>
      </c>
      <c r="N47" s="163">
        <f t="shared" si="1"/>
        <v>0</v>
      </c>
      <c r="O47" s="100" t="s">
        <v>167</v>
      </c>
      <c r="P47" s="232">
        <f t="shared" si="6"/>
        <v>0</v>
      </c>
    </row>
    <row r="48" spans="1:16" x14ac:dyDescent="0.25">
      <c r="A48" s="183"/>
      <c r="B48" s="186" t="s">
        <v>88</v>
      </c>
      <c r="C48" s="30"/>
      <c r="D48" s="90"/>
      <c r="E48" s="30"/>
      <c r="F48" s="185"/>
      <c r="G48" s="185"/>
      <c r="H48" s="222">
        <f t="shared" si="4"/>
        <v>0</v>
      </c>
      <c r="I48" s="222">
        <f t="shared" si="3"/>
        <v>0</v>
      </c>
      <c r="J48" s="100"/>
      <c r="K48" s="99"/>
      <c r="L48" s="157">
        <f>G48</f>
        <v>0</v>
      </c>
      <c r="M48" s="213"/>
      <c r="N48" s="163">
        <f t="shared" si="1"/>
        <v>0</v>
      </c>
      <c r="O48" s="100"/>
      <c r="P48" s="232"/>
    </row>
    <row r="49" spans="1:16" ht="60" x14ac:dyDescent="0.25">
      <c r="A49" s="183">
        <v>4.8</v>
      </c>
      <c r="B49" s="46" t="s">
        <v>14</v>
      </c>
      <c r="C49" s="30" t="s">
        <v>9</v>
      </c>
      <c r="D49" s="85">
        <f>0.1*C12*C13</f>
        <v>12</v>
      </c>
      <c r="E49" s="30">
        <v>250</v>
      </c>
      <c r="F49" s="185">
        <f t="shared" si="2"/>
        <v>750</v>
      </c>
      <c r="G49" s="185">
        <v>9000</v>
      </c>
      <c r="H49" s="222">
        <f t="shared" si="4"/>
        <v>3000</v>
      </c>
      <c r="I49" s="222">
        <f t="shared" si="3"/>
        <v>-6000</v>
      </c>
      <c r="J49" s="98" t="s">
        <v>156</v>
      </c>
      <c r="K49" s="99"/>
      <c r="L49" s="157">
        <f>G49/2</f>
        <v>4500</v>
      </c>
      <c r="M49" s="216"/>
      <c r="N49" s="163">
        <f t="shared" si="1"/>
        <v>0</v>
      </c>
      <c r="O49" s="100" t="s">
        <v>168</v>
      </c>
      <c r="P49" s="232">
        <f>+M49/D49</f>
        <v>0</v>
      </c>
    </row>
    <row r="50" spans="1:16" ht="60" x14ac:dyDescent="0.25">
      <c r="A50" s="183">
        <v>4.9000000000000004</v>
      </c>
      <c r="B50" s="46" t="s">
        <v>15</v>
      </c>
      <c r="C50" s="30" t="s">
        <v>9</v>
      </c>
      <c r="D50" s="218">
        <f>(0.3*0.3*C12)+(0.3*0.3*(C13-0.6-0.3))</f>
        <v>1.9889999999999999</v>
      </c>
      <c r="E50" s="30">
        <v>250</v>
      </c>
      <c r="F50" s="185">
        <f t="shared" si="2"/>
        <v>750.37707390648575</v>
      </c>
      <c r="G50" s="185">
        <v>1492.5</v>
      </c>
      <c r="H50" s="222">
        <f t="shared" si="4"/>
        <v>497.24999999999994</v>
      </c>
      <c r="I50" s="222">
        <f t="shared" si="3"/>
        <v>-995.25</v>
      </c>
      <c r="J50" s="215" t="s">
        <v>156</v>
      </c>
      <c r="K50" s="99"/>
      <c r="L50" s="157">
        <f>G50/2</f>
        <v>746.25</v>
      </c>
      <c r="M50" s="227">
        <f>+D50</f>
        <v>1.9889999999999999</v>
      </c>
      <c r="N50" s="163">
        <f t="shared" si="1"/>
        <v>1492.5</v>
      </c>
      <c r="O50" s="100" t="s">
        <v>168</v>
      </c>
      <c r="P50" s="232">
        <f>+M50/D50</f>
        <v>1</v>
      </c>
    </row>
    <row r="51" spans="1:16" ht="60" x14ac:dyDescent="0.25">
      <c r="A51" s="191">
        <v>4.0999999999999996</v>
      </c>
      <c r="B51" s="46" t="s">
        <v>16</v>
      </c>
      <c r="C51" s="30" t="s">
        <v>9</v>
      </c>
      <c r="D51" s="218">
        <f>(C13-0.6-0.3)*0.3*0.3</f>
        <v>0.6389999999999999</v>
      </c>
      <c r="E51" s="30">
        <v>250</v>
      </c>
      <c r="F51" s="185">
        <f t="shared" si="2"/>
        <v>751.17370892018789</v>
      </c>
      <c r="G51" s="185">
        <v>480</v>
      </c>
      <c r="H51" s="222">
        <f t="shared" si="4"/>
        <v>159.74999999999997</v>
      </c>
      <c r="I51" s="222">
        <f t="shared" si="3"/>
        <v>-320.25</v>
      </c>
      <c r="J51" s="215" t="s">
        <v>156</v>
      </c>
      <c r="K51" s="99"/>
      <c r="L51" s="157">
        <f>G51/2</f>
        <v>240</v>
      </c>
      <c r="M51" s="227">
        <f>+D51</f>
        <v>0.6389999999999999</v>
      </c>
      <c r="N51" s="163">
        <f t="shared" ref="N51:N82" si="7">+M51*F51</f>
        <v>480</v>
      </c>
      <c r="O51" s="100" t="s">
        <v>168</v>
      </c>
      <c r="P51" s="232">
        <f>+M51/D51</f>
        <v>1</v>
      </c>
    </row>
    <row r="52" spans="1:16" ht="75" x14ac:dyDescent="0.25">
      <c r="A52" s="183">
        <v>4.1100000000000003</v>
      </c>
      <c r="B52" s="46" t="s">
        <v>60</v>
      </c>
      <c r="C52" s="30" t="s">
        <v>9</v>
      </c>
      <c r="D52" s="218">
        <f>0.3*0.3*C12</f>
        <v>1.3499999999999999</v>
      </c>
      <c r="E52" s="30">
        <v>250</v>
      </c>
      <c r="F52" s="185">
        <f t="shared" si="2"/>
        <v>750.00000000000011</v>
      </c>
      <c r="G52" s="185">
        <v>1012.5</v>
      </c>
      <c r="H52" s="222">
        <f t="shared" si="4"/>
        <v>337.49999999999994</v>
      </c>
      <c r="I52" s="222">
        <f t="shared" si="3"/>
        <v>-675</v>
      </c>
      <c r="J52" s="215" t="s">
        <v>156</v>
      </c>
      <c r="K52" s="99"/>
      <c r="L52" s="157">
        <f>G52/2</f>
        <v>506.25</v>
      </c>
      <c r="M52" s="216"/>
      <c r="N52" s="163">
        <f t="shared" si="7"/>
        <v>0</v>
      </c>
      <c r="O52" s="100" t="s">
        <v>169</v>
      </c>
      <c r="P52" s="232">
        <f>+M52/D52</f>
        <v>0</v>
      </c>
    </row>
    <row r="53" spans="1:16" ht="75" x14ac:dyDescent="0.25">
      <c r="A53" s="191">
        <v>4.12</v>
      </c>
      <c r="B53" s="46" t="s">
        <v>66</v>
      </c>
      <c r="C53" s="30" t="s">
        <v>27</v>
      </c>
      <c r="D53" s="30">
        <v>1</v>
      </c>
      <c r="E53" s="30">
        <v>250</v>
      </c>
      <c r="F53" s="185">
        <f t="shared" si="2"/>
        <v>250</v>
      </c>
      <c r="G53" s="185">
        <v>250</v>
      </c>
      <c r="H53" s="222">
        <f t="shared" si="4"/>
        <v>250</v>
      </c>
      <c r="I53" s="222">
        <f t="shared" si="3"/>
        <v>0</v>
      </c>
      <c r="J53" s="98" t="s">
        <v>156</v>
      </c>
      <c r="K53" s="99"/>
      <c r="L53" s="157">
        <f>G53</f>
        <v>250</v>
      </c>
      <c r="M53" s="216"/>
      <c r="N53" s="163">
        <f t="shared" si="7"/>
        <v>0</v>
      </c>
      <c r="O53" s="100" t="s">
        <v>170</v>
      </c>
      <c r="P53" s="232">
        <f>+M53/D53</f>
        <v>0</v>
      </c>
    </row>
    <row r="54" spans="1:16" x14ac:dyDescent="0.25">
      <c r="A54" s="183"/>
      <c r="B54" s="186" t="s">
        <v>90</v>
      </c>
      <c r="C54" s="30"/>
      <c r="D54" s="90"/>
      <c r="E54" s="30"/>
      <c r="F54" s="185"/>
      <c r="G54" s="185"/>
      <c r="H54" s="222">
        <f t="shared" si="4"/>
        <v>0</v>
      </c>
      <c r="I54" s="222">
        <f t="shared" si="3"/>
        <v>0</v>
      </c>
      <c r="J54" s="100"/>
      <c r="K54" s="99"/>
      <c r="L54" s="156"/>
      <c r="M54" s="213"/>
      <c r="N54" s="163">
        <f t="shared" si="7"/>
        <v>0</v>
      </c>
      <c r="O54" s="100"/>
      <c r="P54" s="232"/>
    </row>
    <row r="55" spans="1:16" x14ac:dyDescent="0.25">
      <c r="A55" s="183">
        <v>4.13</v>
      </c>
      <c r="B55" s="192" t="s">
        <v>91</v>
      </c>
      <c r="C55" s="30" t="s">
        <v>9</v>
      </c>
      <c r="D55" s="85">
        <f>((0.3*0.15)+(1*0.15))*0.3*(C10/2)</f>
        <v>2.3253749999999997</v>
      </c>
      <c r="E55" s="193">
        <v>250</v>
      </c>
      <c r="F55" s="185">
        <f t="shared" si="2"/>
        <v>751.49169488792143</v>
      </c>
      <c r="G55" s="194">
        <v>1747.5</v>
      </c>
      <c r="H55" s="222">
        <f t="shared" si="4"/>
        <v>581.34374999999989</v>
      </c>
      <c r="I55" s="222">
        <f t="shared" si="3"/>
        <v>-1166.15625</v>
      </c>
      <c r="J55" s="100"/>
      <c r="K55" s="99"/>
      <c r="L55" s="156"/>
      <c r="M55" s="227">
        <f>+D55</f>
        <v>2.3253749999999997</v>
      </c>
      <c r="N55" s="163">
        <f t="shared" si="7"/>
        <v>1747.5</v>
      </c>
      <c r="O55" s="100"/>
      <c r="P55" s="232">
        <f>+M55/D55</f>
        <v>1</v>
      </c>
    </row>
    <row r="56" spans="1:16" x14ac:dyDescent="0.25">
      <c r="A56" s="183">
        <v>4.1399999999999997</v>
      </c>
      <c r="B56" s="192" t="s">
        <v>92</v>
      </c>
      <c r="C56" s="193" t="s">
        <v>9</v>
      </c>
      <c r="D56" s="85">
        <f>(0.15*0.3*C10)-((C10/2)*0.15*0.3*0.3)</f>
        <v>3.0408749999999998</v>
      </c>
      <c r="E56" s="193">
        <v>250</v>
      </c>
      <c r="F56" s="185">
        <f t="shared" si="2"/>
        <v>749.78419040572214</v>
      </c>
      <c r="G56" s="194">
        <v>2280</v>
      </c>
      <c r="H56" s="222">
        <f t="shared" si="4"/>
        <v>760.21875</v>
      </c>
      <c r="I56" s="222">
        <f t="shared" si="3"/>
        <v>-1519.78125</v>
      </c>
      <c r="J56" s="100"/>
      <c r="K56" s="99"/>
      <c r="L56" s="156"/>
      <c r="M56" s="227">
        <f>+D56</f>
        <v>3.0408749999999998</v>
      </c>
      <c r="N56" s="163">
        <f t="shared" si="7"/>
        <v>2280</v>
      </c>
      <c r="O56" s="100"/>
      <c r="P56" s="232">
        <f>+M56/D56</f>
        <v>1</v>
      </c>
    </row>
    <row r="57" spans="1:16" x14ac:dyDescent="0.25">
      <c r="A57" s="183"/>
      <c r="B57" s="186" t="s">
        <v>93</v>
      </c>
      <c r="C57" s="193"/>
      <c r="D57" s="90"/>
      <c r="E57" s="193"/>
      <c r="F57" s="185"/>
      <c r="G57" s="194"/>
      <c r="H57" s="222">
        <f t="shared" si="4"/>
        <v>0</v>
      </c>
      <c r="I57" s="222">
        <f t="shared" si="3"/>
        <v>0</v>
      </c>
      <c r="J57" s="100"/>
      <c r="K57" s="99"/>
      <c r="L57" s="156"/>
      <c r="M57" s="227"/>
      <c r="N57" s="163">
        <f t="shared" si="7"/>
        <v>0</v>
      </c>
      <c r="O57" s="100"/>
      <c r="P57" s="232"/>
    </row>
    <row r="58" spans="1:16" x14ac:dyDescent="0.25">
      <c r="A58" s="183">
        <v>4.1500000000000004</v>
      </c>
      <c r="B58" s="46" t="s">
        <v>57</v>
      </c>
      <c r="C58" s="30" t="s">
        <v>9</v>
      </c>
      <c r="D58" s="129">
        <f>0.9*0.4*0.4*2</f>
        <v>0.28800000000000003</v>
      </c>
      <c r="E58" s="30">
        <v>250</v>
      </c>
      <c r="F58" s="185">
        <f t="shared" si="2"/>
        <v>755.20833333333326</v>
      </c>
      <c r="G58" s="185">
        <v>217.5</v>
      </c>
      <c r="H58" s="222">
        <f t="shared" si="4"/>
        <v>72.000000000000014</v>
      </c>
      <c r="I58" s="222">
        <f t="shared" si="3"/>
        <v>-145.5</v>
      </c>
      <c r="J58" s="100"/>
      <c r="K58" s="99"/>
      <c r="L58" s="157">
        <f>G58</f>
        <v>217.5</v>
      </c>
      <c r="M58" s="227">
        <v>0</v>
      </c>
      <c r="N58" s="163">
        <f t="shared" si="7"/>
        <v>0</v>
      </c>
      <c r="O58" s="100"/>
      <c r="P58" s="232">
        <f>+M58/D58</f>
        <v>0</v>
      </c>
    </row>
    <row r="59" spans="1:16" x14ac:dyDescent="0.25">
      <c r="A59" s="191">
        <v>4.16</v>
      </c>
      <c r="B59" s="46" t="s">
        <v>18</v>
      </c>
      <c r="C59" s="30" t="s">
        <v>7</v>
      </c>
      <c r="D59" s="30">
        <v>1</v>
      </c>
      <c r="E59" s="30">
        <v>250</v>
      </c>
      <c r="F59" s="185">
        <f t="shared" si="2"/>
        <v>250</v>
      </c>
      <c r="G59" s="185">
        <v>250</v>
      </c>
      <c r="H59" s="222">
        <f t="shared" si="4"/>
        <v>250</v>
      </c>
      <c r="I59" s="222">
        <f t="shared" si="3"/>
        <v>0</v>
      </c>
      <c r="J59" s="98"/>
      <c r="K59" s="99"/>
      <c r="L59" s="157"/>
      <c r="M59" s="227">
        <f>+D59</f>
        <v>1</v>
      </c>
      <c r="N59" s="163">
        <f t="shared" si="7"/>
        <v>250</v>
      </c>
      <c r="O59" s="98"/>
      <c r="P59" s="232">
        <f>+M59/D59</f>
        <v>1</v>
      </c>
    </row>
    <row r="60" spans="1:16" x14ac:dyDescent="0.25">
      <c r="A60" s="30"/>
      <c r="B60" s="187"/>
      <c r="C60" s="30"/>
      <c r="D60" s="30"/>
      <c r="E60" s="30"/>
      <c r="F60" s="185"/>
      <c r="G60" s="116">
        <v>29796.5</v>
      </c>
      <c r="H60" s="222">
        <f t="shared" si="4"/>
        <v>0</v>
      </c>
      <c r="I60" s="222"/>
      <c r="J60" s="98"/>
      <c r="K60" s="99"/>
      <c r="L60" s="156"/>
      <c r="M60" s="213"/>
      <c r="N60" s="163">
        <f t="shared" si="7"/>
        <v>0</v>
      </c>
      <c r="O60" s="98"/>
      <c r="P60" s="232"/>
    </row>
    <row r="61" spans="1:16" x14ac:dyDescent="0.25">
      <c r="A61" s="83">
        <v>5</v>
      </c>
      <c r="B61" s="86" t="s">
        <v>48</v>
      </c>
      <c r="C61" s="30"/>
      <c r="D61" s="30"/>
      <c r="E61" s="30"/>
      <c r="F61" s="185"/>
      <c r="G61" s="185"/>
      <c r="H61" s="222">
        <f t="shared" si="4"/>
        <v>0</v>
      </c>
      <c r="I61" s="222">
        <f t="shared" si="3"/>
        <v>0</v>
      </c>
      <c r="J61" s="98"/>
      <c r="K61" s="99"/>
      <c r="L61" s="156"/>
      <c r="M61" s="213"/>
      <c r="N61" s="163">
        <f t="shared" si="7"/>
        <v>0</v>
      </c>
      <c r="O61" s="98"/>
      <c r="P61" s="232"/>
    </row>
    <row r="62" spans="1:16" x14ac:dyDescent="0.25">
      <c r="A62" s="83"/>
      <c r="B62" s="186" t="s">
        <v>89</v>
      </c>
      <c r="C62" s="30"/>
      <c r="D62" s="30"/>
      <c r="E62" s="30"/>
      <c r="F62" s="185"/>
      <c r="G62" s="185"/>
      <c r="H62" s="222">
        <f t="shared" si="4"/>
        <v>0</v>
      </c>
      <c r="I62" s="222">
        <f t="shared" si="3"/>
        <v>0</v>
      </c>
      <c r="J62" s="98"/>
      <c r="K62" s="99"/>
      <c r="L62" s="156"/>
      <c r="M62" s="213"/>
      <c r="N62" s="163">
        <f t="shared" si="7"/>
        <v>0</v>
      </c>
      <c r="O62" s="98"/>
      <c r="P62" s="232"/>
    </row>
    <row r="63" spans="1:16" ht="60" x14ac:dyDescent="0.25">
      <c r="A63" s="30">
        <v>5.0999999999999996</v>
      </c>
      <c r="B63" s="46" t="s">
        <v>54</v>
      </c>
      <c r="C63" s="30" t="s">
        <v>27</v>
      </c>
      <c r="D63" s="84">
        <f>C7</f>
        <v>10</v>
      </c>
      <c r="E63" s="30">
        <v>250</v>
      </c>
      <c r="F63" s="185">
        <f t="shared" si="2"/>
        <v>250</v>
      </c>
      <c r="G63" s="185">
        <v>2500</v>
      </c>
      <c r="H63" s="222">
        <f t="shared" si="4"/>
        <v>2500</v>
      </c>
      <c r="I63" s="222">
        <f t="shared" si="3"/>
        <v>0</v>
      </c>
      <c r="J63" s="98"/>
      <c r="K63" s="99"/>
      <c r="L63" s="156"/>
      <c r="M63" s="216"/>
      <c r="N63" s="163">
        <f t="shared" si="7"/>
        <v>0</v>
      </c>
      <c r="O63" s="98" t="s">
        <v>171</v>
      </c>
      <c r="P63" s="232">
        <f>+M63/D63</f>
        <v>0</v>
      </c>
    </row>
    <row r="64" spans="1:16" ht="60" x14ac:dyDescent="0.25">
      <c r="A64" s="30">
        <v>5.2</v>
      </c>
      <c r="B64" s="46" t="s">
        <v>87</v>
      </c>
      <c r="C64" s="30" t="s">
        <v>20</v>
      </c>
      <c r="D64" s="80">
        <f>2*4.075</f>
        <v>8.15</v>
      </c>
      <c r="E64" s="30">
        <v>250</v>
      </c>
      <c r="F64" s="185">
        <f t="shared" si="2"/>
        <v>250</v>
      </c>
      <c r="G64" s="185">
        <v>2037.5</v>
      </c>
      <c r="H64" s="222">
        <f t="shared" si="4"/>
        <v>2037.5</v>
      </c>
      <c r="I64" s="222">
        <f t="shared" si="3"/>
        <v>0</v>
      </c>
      <c r="J64" s="98" t="s">
        <v>157</v>
      </c>
      <c r="K64" s="99"/>
      <c r="L64" s="157">
        <f>G64/4</f>
        <v>509.375</v>
      </c>
      <c r="M64" s="216"/>
      <c r="N64" s="163">
        <f t="shared" si="7"/>
        <v>0</v>
      </c>
      <c r="O64" s="98" t="s">
        <v>172</v>
      </c>
      <c r="P64" s="232">
        <f>+M64/D64</f>
        <v>0</v>
      </c>
    </row>
    <row r="65" spans="1:18" x14ac:dyDescent="0.25">
      <c r="A65" s="83"/>
      <c r="B65" s="186" t="s">
        <v>90</v>
      </c>
      <c r="C65" s="30"/>
      <c r="D65" s="30"/>
      <c r="E65" s="30"/>
      <c r="F65" s="185"/>
      <c r="G65" s="185"/>
      <c r="H65" s="222">
        <f t="shared" si="4"/>
        <v>0</v>
      </c>
      <c r="I65" s="222">
        <f t="shared" si="3"/>
        <v>0</v>
      </c>
      <c r="J65" s="98"/>
      <c r="K65" s="99"/>
      <c r="L65" s="156"/>
      <c r="M65" s="213"/>
      <c r="N65" s="163">
        <f t="shared" si="7"/>
        <v>0</v>
      </c>
      <c r="O65" s="98"/>
      <c r="P65" s="232"/>
    </row>
    <row r="66" spans="1:18" ht="60" x14ac:dyDescent="0.25">
      <c r="A66" s="30">
        <v>5.3</v>
      </c>
      <c r="B66" s="46" t="s">
        <v>31</v>
      </c>
      <c r="C66" s="30" t="s">
        <v>20</v>
      </c>
      <c r="D66" s="84">
        <f>C10</f>
        <v>79.5</v>
      </c>
      <c r="E66" s="30">
        <v>250</v>
      </c>
      <c r="F66" s="185">
        <f t="shared" si="2"/>
        <v>250</v>
      </c>
      <c r="G66" s="185">
        <v>19875</v>
      </c>
      <c r="H66" s="222">
        <f t="shared" si="4"/>
        <v>19875</v>
      </c>
      <c r="I66" s="222">
        <f t="shared" si="3"/>
        <v>0</v>
      </c>
      <c r="J66" s="98"/>
      <c r="K66" s="99"/>
      <c r="L66" s="156"/>
      <c r="M66" s="227">
        <f>+D66-2</f>
        <v>77.5</v>
      </c>
      <c r="N66" s="163">
        <f t="shared" si="7"/>
        <v>19375</v>
      </c>
      <c r="O66" s="98" t="s">
        <v>173</v>
      </c>
      <c r="P66" s="232">
        <f>+M66/D66</f>
        <v>0.97484276729559749</v>
      </c>
      <c r="R66" s="39">
        <f>77.5/79.5</f>
        <v>0.97484276729559749</v>
      </c>
    </row>
    <row r="67" spans="1:18" x14ac:dyDescent="0.25">
      <c r="A67" s="83"/>
      <c r="B67" s="186" t="s">
        <v>93</v>
      </c>
      <c r="C67" s="30"/>
      <c r="D67" s="30"/>
      <c r="E67" s="30"/>
      <c r="F67" s="185"/>
      <c r="G67" s="185"/>
      <c r="H67" s="222">
        <f t="shared" si="4"/>
        <v>0</v>
      </c>
      <c r="I67" s="222">
        <f t="shared" si="3"/>
        <v>0</v>
      </c>
      <c r="J67" s="98"/>
      <c r="K67" s="99"/>
      <c r="L67" s="156"/>
      <c r="M67" s="227"/>
      <c r="N67" s="163">
        <f t="shared" si="7"/>
        <v>0</v>
      </c>
      <c r="O67" s="98"/>
      <c r="P67" s="232"/>
    </row>
    <row r="68" spans="1:18" ht="60" x14ac:dyDescent="0.25">
      <c r="A68" s="30">
        <v>5.4</v>
      </c>
      <c r="B68" s="46" t="s">
        <v>31</v>
      </c>
      <c r="C68" s="30" t="s">
        <v>20</v>
      </c>
      <c r="D68" s="84">
        <f>C10</f>
        <v>79.5</v>
      </c>
      <c r="E68" s="30">
        <v>250</v>
      </c>
      <c r="F68" s="185">
        <f t="shared" si="2"/>
        <v>250</v>
      </c>
      <c r="G68" s="185">
        <v>19875</v>
      </c>
      <c r="H68" s="222">
        <f t="shared" si="4"/>
        <v>19875</v>
      </c>
      <c r="I68" s="222">
        <f t="shared" si="3"/>
        <v>0</v>
      </c>
      <c r="J68" s="98"/>
      <c r="K68" s="99"/>
      <c r="L68" s="156"/>
      <c r="M68" s="227">
        <v>0</v>
      </c>
      <c r="N68" s="163">
        <f t="shared" si="7"/>
        <v>0</v>
      </c>
      <c r="O68" s="229" t="s">
        <v>174</v>
      </c>
      <c r="P68" s="232">
        <f>+M68/D68</f>
        <v>0</v>
      </c>
    </row>
    <row r="69" spans="1:18" ht="45" x14ac:dyDescent="0.25">
      <c r="A69" s="30">
        <v>5.5</v>
      </c>
      <c r="B69" s="46" t="s">
        <v>51</v>
      </c>
      <c r="C69" s="30" t="s">
        <v>27</v>
      </c>
      <c r="D69" s="122">
        <v>2</v>
      </c>
      <c r="E69" s="30">
        <v>2500</v>
      </c>
      <c r="F69" s="185">
        <f t="shared" si="2"/>
        <v>2500</v>
      </c>
      <c r="G69" s="185">
        <v>5000</v>
      </c>
      <c r="H69" s="222">
        <f t="shared" si="4"/>
        <v>5000</v>
      </c>
      <c r="I69" s="222">
        <f t="shared" si="3"/>
        <v>0</v>
      </c>
      <c r="J69" s="98"/>
      <c r="K69" s="99"/>
      <c r="L69" s="157">
        <f>G69</f>
        <v>5000</v>
      </c>
      <c r="M69" s="227">
        <v>0</v>
      </c>
      <c r="N69" s="163">
        <f t="shared" si="7"/>
        <v>0</v>
      </c>
      <c r="O69" s="98"/>
      <c r="P69" s="232">
        <f>+M69/D69</f>
        <v>0</v>
      </c>
    </row>
    <row r="70" spans="1:18" s="81" customFormat="1" x14ac:dyDescent="0.25">
      <c r="A70" s="30"/>
      <c r="B70" s="46"/>
      <c r="C70" s="30"/>
      <c r="D70" s="80"/>
      <c r="E70" s="30"/>
      <c r="F70" s="185"/>
      <c r="G70" s="116">
        <v>49287.5</v>
      </c>
      <c r="H70" s="222">
        <f t="shared" si="4"/>
        <v>0</v>
      </c>
      <c r="I70" s="222"/>
      <c r="J70" s="101"/>
      <c r="K70" s="102"/>
      <c r="L70" s="158"/>
      <c r="M70" s="227"/>
      <c r="N70" s="163">
        <f t="shared" si="7"/>
        <v>0</v>
      </c>
      <c r="O70" s="101"/>
      <c r="P70" s="232"/>
    </row>
    <row r="71" spans="1:18" customFormat="1" x14ac:dyDescent="0.25">
      <c r="A71" s="195">
        <v>6</v>
      </c>
      <c r="B71" s="86" t="s">
        <v>56</v>
      </c>
      <c r="C71" s="87"/>
      <c r="D71" s="87"/>
      <c r="E71" s="87"/>
      <c r="F71" s="185"/>
      <c r="G71" s="196"/>
      <c r="H71" s="222">
        <f t="shared" si="4"/>
        <v>0</v>
      </c>
      <c r="I71" s="222">
        <f t="shared" si="3"/>
        <v>0</v>
      </c>
      <c r="J71" s="103"/>
      <c r="K71" s="104"/>
      <c r="L71" s="159"/>
      <c r="M71" s="231"/>
      <c r="N71" s="163">
        <f t="shared" si="7"/>
        <v>0</v>
      </c>
      <c r="O71" s="103"/>
      <c r="P71" s="232"/>
    </row>
    <row r="72" spans="1:18" customFormat="1" x14ac:dyDescent="0.25">
      <c r="A72" s="87"/>
      <c r="B72" s="88" t="s">
        <v>117</v>
      </c>
      <c r="C72" s="87"/>
      <c r="D72" s="87"/>
      <c r="E72" s="87"/>
      <c r="F72" s="185"/>
      <c r="G72" s="196"/>
      <c r="H72" s="222">
        <f t="shared" si="4"/>
        <v>0</v>
      </c>
      <c r="I72" s="222">
        <f t="shared" si="3"/>
        <v>0</v>
      </c>
      <c r="J72" s="103"/>
      <c r="K72" s="104"/>
      <c r="L72" s="159"/>
      <c r="M72" s="231"/>
      <c r="N72" s="163">
        <f t="shared" si="7"/>
        <v>0</v>
      </c>
      <c r="O72" s="103"/>
      <c r="P72" s="232"/>
    </row>
    <row r="73" spans="1:18" customFormat="1" x14ac:dyDescent="0.25">
      <c r="A73" s="87">
        <v>6.1</v>
      </c>
      <c r="B73" s="46" t="s">
        <v>118</v>
      </c>
      <c r="C73" s="87" t="s">
        <v>9</v>
      </c>
      <c r="D73" s="85">
        <f>(3.7*0.15*C6)-(0.15*0.15*C6*2)-((C6/3)*3.7*0.15*0.15)</f>
        <v>20.206274999999998</v>
      </c>
      <c r="E73" s="87">
        <v>150</v>
      </c>
      <c r="F73" s="185">
        <f t="shared" si="2"/>
        <v>450.08295690323928</v>
      </c>
      <c r="G73" s="196">
        <v>9094.5</v>
      </c>
      <c r="H73" s="222">
        <f t="shared" si="4"/>
        <v>3030.9412499999999</v>
      </c>
      <c r="I73" s="222">
        <f t="shared" si="3"/>
        <v>-6063.5587500000001</v>
      </c>
      <c r="J73" s="103"/>
      <c r="K73" s="104"/>
      <c r="L73" s="159"/>
      <c r="M73" s="231">
        <f>+D73</f>
        <v>20.206274999999998</v>
      </c>
      <c r="N73" s="163">
        <f t="shared" si="7"/>
        <v>9094.5</v>
      </c>
      <c r="O73" s="103"/>
      <c r="P73" s="232">
        <f>+M73/D73</f>
        <v>1</v>
      </c>
    </row>
    <row r="74" spans="1:18" customFormat="1" ht="30" x14ac:dyDescent="0.25">
      <c r="A74" s="87">
        <v>6.2</v>
      </c>
      <c r="B74" s="46" t="s">
        <v>59</v>
      </c>
      <c r="C74" s="87" t="s">
        <v>9</v>
      </c>
      <c r="D74" s="85">
        <f>4*4*0.15</f>
        <v>2.4</v>
      </c>
      <c r="E74" s="87">
        <v>150</v>
      </c>
      <c r="F74" s="185">
        <f t="shared" si="2"/>
        <v>450</v>
      </c>
      <c r="G74" s="196">
        <v>1080</v>
      </c>
      <c r="H74" s="222">
        <f t="shared" si="4"/>
        <v>360</v>
      </c>
      <c r="I74" s="222">
        <f t="shared" si="3"/>
        <v>-720</v>
      </c>
      <c r="J74" s="103"/>
      <c r="K74" s="104"/>
      <c r="L74" s="159"/>
      <c r="M74" s="231">
        <f>+D74</f>
        <v>2.4</v>
      </c>
      <c r="N74" s="163">
        <f t="shared" si="7"/>
        <v>1080</v>
      </c>
      <c r="O74" s="103"/>
      <c r="P74" s="232">
        <f>+M74/D74</f>
        <v>1</v>
      </c>
    </row>
    <row r="75" spans="1:18" customFormat="1" x14ac:dyDescent="0.25">
      <c r="A75" s="87"/>
      <c r="B75" s="88" t="s">
        <v>120</v>
      </c>
      <c r="C75" s="87"/>
      <c r="D75" s="87"/>
      <c r="E75" s="87"/>
      <c r="F75" s="185"/>
      <c r="G75" s="196"/>
      <c r="H75" s="222">
        <f t="shared" si="4"/>
        <v>0</v>
      </c>
      <c r="I75" s="222">
        <f t="shared" si="3"/>
        <v>0</v>
      </c>
      <c r="J75" s="103"/>
      <c r="K75" s="104"/>
      <c r="L75" s="159"/>
      <c r="M75" s="231"/>
      <c r="N75" s="163">
        <f t="shared" si="7"/>
        <v>0</v>
      </c>
      <c r="O75" s="103"/>
      <c r="P75" s="232"/>
    </row>
    <row r="76" spans="1:18" customFormat="1" x14ac:dyDescent="0.25">
      <c r="A76" s="87">
        <v>6.3</v>
      </c>
      <c r="B76" s="46" t="s">
        <v>119</v>
      </c>
      <c r="C76" s="87" t="s">
        <v>9</v>
      </c>
      <c r="D76" s="85">
        <f>(C10*1*0.15)-((C10/2)*0.15*1*0.3)</f>
        <v>10.136249999999999</v>
      </c>
      <c r="E76" s="87">
        <v>150</v>
      </c>
      <c r="F76" s="185">
        <f t="shared" si="2"/>
        <v>450.16648168701448</v>
      </c>
      <c r="G76" s="196">
        <v>4563</v>
      </c>
      <c r="H76" s="222">
        <f t="shared" si="4"/>
        <v>1520.4374999999998</v>
      </c>
      <c r="I76" s="222">
        <f t="shared" si="3"/>
        <v>-3042.5625</v>
      </c>
      <c r="J76" s="103"/>
      <c r="K76" s="104"/>
      <c r="L76" s="159"/>
      <c r="M76" s="231">
        <f>+D76</f>
        <v>10.136249999999999</v>
      </c>
      <c r="N76" s="163">
        <f t="shared" si="7"/>
        <v>4563</v>
      </c>
      <c r="O76" s="103"/>
      <c r="P76" s="232">
        <f>+M76/D76</f>
        <v>1</v>
      </c>
    </row>
    <row r="77" spans="1:18" customFormat="1" x14ac:dyDescent="0.25">
      <c r="A77" s="87"/>
      <c r="B77" s="88" t="s">
        <v>93</v>
      </c>
      <c r="C77" s="87"/>
      <c r="D77" s="85"/>
      <c r="E77" s="87"/>
      <c r="F77" s="185"/>
      <c r="G77" s="196"/>
      <c r="H77" s="222">
        <f t="shared" si="4"/>
        <v>0</v>
      </c>
      <c r="I77" s="222">
        <f t="shared" si="3"/>
        <v>0</v>
      </c>
      <c r="J77" s="103"/>
      <c r="K77" s="104"/>
      <c r="L77" s="159"/>
      <c r="M77" s="231"/>
      <c r="N77" s="163">
        <f t="shared" si="7"/>
        <v>0</v>
      </c>
      <c r="O77" s="103"/>
      <c r="P77" s="232"/>
    </row>
    <row r="78" spans="1:18" customFormat="1" ht="45" x14ac:dyDescent="0.25">
      <c r="A78" s="87">
        <v>6.4</v>
      </c>
      <c r="B78" s="46" t="s">
        <v>131</v>
      </c>
      <c r="C78" s="87" t="s">
        <v>9</v>
      </c>
      <c r="D78" s="218">
        <f>((1.75*3)+(0.3*2))*2*0.15</f>
        <v>1.7549999999999999</v>
      </c>
      <c r="E78" s="87">
        <v>150</v>
      </c>
      <c r="F78" s="185">
        <f t="shared" si="2"/>
        <v>451.28205128205133</v>
      </c>
      <c r="G78" s="196">
        <v>792</v>
      </c>
      <c r="H78" s="222">
        <f t="shared" si="4"/>
        <v>263.25</v>
      </c>
      <c r="I78" s="222">
        <f t="shared" si="3"/>
        <v>-528.75</v>
      </c>
      <c r="J78" s="103"/>
      <c r="K78" s="104"/>
      <c r="L78" s="159"/>
      <c r="M78" s="231">
        <f>+D78</f>
        <v>1.7549999999999999</v>
      </c>
      <c r="N78" s="163">
        <f t="shared" si="7"/>
        <v>792</v>
      </c>
      <c r="O78" s="103"/>
      <c r="P78" s="232">
        <f>+M78/D78</f>
        <v>1</v>
      </c>
    </row>
    <row r="79" spans="1:18" x14ac:dyDescent="0.25">
      <c r="A79" s="30"/>
      <c r="B79" s="187"/>
      <c r="C79" s="30"/>
      <c r="D79" s="30"/>
      <c r="E79" s="30"/>
      <c r="F79" s="185"/>
      <c r="G79" s="116">
        <v>15529.5</v>
      </c>
      <c r="H79" s="222">
        <f t="shared" si="4"/>
        <v>0</v>
      </c>
      <c r="I79" s="222"/>
      <c r="J79" s="98"/>
      <c r="K79" s="99"/>
      <c r="L79" s="156"/>
      <c r="M79" s="227"/>
      <c r="N79" s="163">
        <f t="shared" si="7"/>
        <v>0</v>
      </c>
      <c r="O79" s="98"/>
      <c r="P79" s="232"/>
    </row>
    <row r="80" spans="1:18" x14ac:dyDescent="0.25">
      <c r="A80" s="83">
        <v>7</v>
      </c>
      <c r="B80" s="86" t="s">
        <v>21</v>
      </c>
      <c r="C80" s="30"/>
      <c r="D80" s="30"/>
      <c r="E80" s="30"/>
      <c r="F80" s="185"/>
      <c r="G80" s="185"/>
      <c r="H80" s="222">
        <f t="shared" si="4"/>
        <v>0</v>
      </c>
      <c r="I80" s="222">
        <f t="shared" si="3"/>
        <v>0</v>
      </c>
      <c r="J80" s="98"/>
      <c r="K80" s="99"/>
      <c r="L80" s="156"/>
      <c r="M80" s="227"/>
      <c r="N80" s="163">
        <f t="shared" si="7"/>
        <v>0</v>
      </c>
      <c r="O80" s="98"/>
      <c r="P80" s="232"/>
    </row>
    <row r="81" spans="1:16" customFormat="1" x14ac:dyDescent="0.25">
      <c r="A81" s="87"/>
      <c r="B81" s="88" t="s">
        <v>89</v>
      </c>
      <c r="C81" s="87"/>
      <c r="D81" s="87"/>
      <c r="E81" s="87"/>
      <c r="F81" s="185"/>
      <c r="G81" s="196"/>
      <c r="H81" s="222">
        <f t="shared" si="4"/>
        <v>0</v>
      </c>
      <c r="I81" s="222">
        <f t="shared" si="3"/>
        <v>0</v>
      </c>
      <c r="J81" s="103"/>
      <c r="K81" s="104"/>
      <c r="L81" s="159"/>
      <c r="M81" s="231"/>
      <c r="N81" s="163">
        <f t="shared" si="7"/>
        <v>0</v>
      </c>
      <c r="O81" s="103"/>
      <c r="P81" s="232"/>
    </row>
    <row r="82" spans="1:16" customFormat="1" ht="30" x14ac:dyDescent="0.25">
      <c r="A82" s="87">
        <v>7.1</v>
      </c>
      <c r="B82" s="46" t="s">
        <v>64</v>
      </c>
      <c r="C82" s="87" t="s">
        <v>12</v>
      </c>
      <c r="D82" s="84">
        <f>(C6*3.7*2)+(C6*0.15)+(5*0.15*3.7)</f>
        <v>319.12</v>
      </c>
      <c r="E82" s="87">
        <v>25</v>
      </c>
      <c r="F82" s="185">
        <f t="shared" si="2"/>
        <v>50</v>
      </c>
      <c r="G82" s="196">
        <v>15956</v>
      </c>
      <c r="H82" s="222">
        <f t="shared" si="4"/>
        <v>7978</v>
      </c>
      <c r="I82" s="222">
        <f t="shared" si="3"/>
        <v>-7978</v>
      </c>
      <c r="J82" s="103"/>
      <c r="K82" s="104"/>
      <c r="L82" s="159"/>
      <c r="M82" s="231">
        <f>+D82</f>
        <v>319.12</v>
      </c>
      <c r="N82" s="163">
        <f t="shared" si="7"/>
        <v>15956</v>
      </c>
      <c r="O82" s="103"/>
      <c r="P82" s="232">
        <f>+M82/D82</f>
        <v>1</v>
      </c>
    </row>
    <row r="83" spans="1:16" customFormat="1" ht="30" x14ac:dyDescent="0.25">
      <c r="A83" s="87">
        <v>7.2</v>
      </c>
      <c r="B83" s="46" t="s">
        <v>61</v>
      </c>
      <c r="C83" s="87" t="s">
        <v>12</v>
      </c>
      <c r="D83" s="84">
        <f>(C9*1.5*2)+(C9*0.15)+(4*0.15*1.5)</f>
        <v>51.3</v>
      </c>
      <c r="E83" s="87">
        <v>25</v>
      </c>
      <c r="F83" s="185">
        <f t="shared" si="2"/>
        <v>50</v>
      </c>
      <c r="G83" s="196">
        <v>2565</v>
      </c>
      <c r="H83" s="222">
        <f t="shared" si="4"/>
        <v>1282.5</v>
      </c>
      <c r="I83" s="222">
        <f t="shared" si="3"/>
        <v>-1282.5</v>
      </c>
      <c r="J83" s="103"/>
      <c r="K83" s="104"/>
      <c r="L83" s="159"/>
      <c r="M83" s="231">
        <f>+D83</f>
        <v>51.3</v>
      </c>
      <c r="N83" s="163">
        <f t="shared" ref="N83:N114" si="8">+M83*F83</f>
        <v>2565</v>
      </c>
      <c r="O83" s="103"/>
      <c r="P83" s="232">
        <f>+M83/D83</f>
        <v>1</v>
      </c>
    </row>
    <row r="84" spans="1:16" customFormat="1" x14ac:dyDescent="0.25">
      <c r="A84" s="87"/>
      <c r="B84" s="88" t="s">
        <v>90</v>
      </c>
      <c r="C84" s="87"/>
      <c r="D84" s="197"/>
      <c r="E84" s="87"/>
      <c r="F84" s="185"/>
      <c r="G84" s="196"/>
      <c r="H84" s="222">
        <f t="shared" si="4"/>
        <v>0</v>
      </c>
      <c r="I84" s="222">
        <f t="shared" ref="I84:I147" si="9">+H84-G84</f>
        <v>0</v>
      </c>
      <c r="J84" s="103"/>
      <c r="K84" s="104"/>
      <c r="L84" s="159"/>
      <c r="M84" s="231"/>
      <c r="N84" s="163">
        <f t="shared" si="8"/>
        <v>0</v>
      </c>
      <c r="O84" s="103"/>
      <c r="P84" s="232"/>
    </row>
    <row r="85" spans="1:16" customFormat="1" x14ac:dyDescent="0.25">
      <c r="A85" s="87">
        <v>7.3</v>
      </c>
      <c r="B85" s="46" t="s">
        <v>124</v>
      </c>
      <c r="C85" s="87" t="s">
        <v>12</v>
      </c>
      <c r="D85" s="84">
        <f>(C10*1*2)+(C10*0.15)+(6*1*0.15)</f>
        <v>171.82500000000002</v>
      </c>
      <c r="E85" s="87">
        <v>25</v>
      </c>
      <c r="F85" s="185">
        <f t="shared" ref="F85:F92" si="10">+G85/D85</f>
        <v>50.001454968718164</v>
      </c>
      <c r="G85" s="196">
        <v>8591.5</v>
      </c>
      <c r="H85" s="222">
        <f t="shared" si="4"/>
        <v>4295.625</v>
      </c>
      <c r="I85" s="222">
        <f t="shared" si="9"/>
        <v>-4295.875</v>
      </c>
      <c r="J85" s="103"/>
      <c r="K85" s="104"/>
      <c r="L85" s="159"/>
      <c r="M85" s="231">
        <f>+D85</f>
        <v>171.82500000000002</v>
      </c>
      <c r="N85" s="163">
        <f t="shared" si="8"/>
        <v>8591.5</v>
      </c>
      <c r="O85" s="103"/>
      <c r="P85" s="232">
        <f>+M85/D85</f>
        <v>1</v>
      </c>
    </row>
    <row r="86" spans="1:16" customFormat="1" x14ac:dyDescent="0.25">
      <c r="A86" s="87"/>
      <c r="B86" s="88" t="s">
        <v>93</v>
      </c>
      <c r="C86" s="87"/>
      <c r="D86" s="85"/>
      <c r="E86" s="87"/>
      <c r="F86" s="185"/>
      <c r="G86" s="196"/>
      <c r="H86" s="222">
        <f t="shared" si="4"/>
        <v>0</v>
      </c>
      <c r="I86" s="222">
        <f t="shared" si="9"/>
        <v>0</v>
      </c>
      <c r="J86" s="103"/>
      <c r="K86" s="104"/>
      <c r="L86" s="159"/>
      <c r="M86" s="231"/>
      <c r="N86" s="163">
        <f t="shared" si="8"/>
        <v>0</v>
      </c>
      <c r="O86" s="103"/>
      <c r="P86" s="232"/>
    </row>
    <row r="87" spans="1:16" customFormat="1" ht="45" x14ac:dyDescent="0.25">
      <c r="A87" s="87">
        <v>7.4</v>
      </c>
      <c r="B87" s="46" t="s">
        <v>131</v>
      </c>
      <c r="C87" s="87" t="s">
        <v>12</v>
      </c>
      <c r="D87" s="85">
        <v>12.58</v>
      </c>
      <c r="E87" s="87">
        <v>25</v>
      </c>
      <c r="F87" s="185">
        <f t="shared" si="10"/>
        <v>50</v>
      </c>
      <c r="G87" s="196">
        <v>629</v>
      </c>
      <c r="H87" s="222">
        <f t="shared" si="4"/>
        <v>314.5</v>
      </c>
      <c r="I87" s="222">
        <f t="shared" si="9"/>
        <v>-314.5</v>
      </c>
      <c r="J87" s="103"/>
      <c r="K87" s="104"/>
      <c r="L87" s="159"/>
      <c r="M87" s="231">
        <f>+D87</f>
        <v>12.58</v>
      </c>
      <c r="N87" s="163">
        <f t="shared" si="8"/>
        <v>629</v>
      </c>
      <c r="O87" s="103"/>
      <c r="P87" s="232">
        <f>+M87/D87</f>
        <v>1</v>
      </c>
    </row>
    <row r="88" spans="1:16" x14ac:dyDescent="0.25">
      <c r="A88" s="30"/>
      <c r="B88" s="187"/>
      <c r="C88" s="30"/>
      <c r="D88" s="30"/>
      <c r="E88" s="30"/>
      <c r="F88" s="185"/>
      <c r="G88" s="116">
        <v>27741.5</v>
      </c>
      <c r="H88" s="222">
        <f t="shared" si="4"/>
        <v>0</v>
      </c>
      <c r="I88" s="222"/>
      <c r="J88" s="98"/>
      <c r="K88" s="99"/>
      <c r="L88" s="156"/>
      <c r="M88" s="227"/>
      <c r="N88" s="163">
        <f t="shared" si="8"/>
        <v>0</v>
      </c>
      <c r="O88" s="98"/>
      <c r="P88" s="232"/>
    </row>
    <row r="89" spans="1:16" x14ac:dyDescent="0.25">
      <c r="A89" s="83">
        <v>8</v>
      </c>
      <c r="B89" s="86" t="s">
        <v>22</v>
      </c>
      <c r="C89" s="30"/>
      <c r="D89" s="30"/>
      <c r="E89" s="30"/>
      <c r="F89" s="185"/>
      <c r="G89" s="185"/>
      <c r="H89" s="222">
        <f t="shared" si="4"/>
        <v>0</v>
      </c>
      <c r="I89" s="222">
        <f t="shared" si="9"/>
        <v>0</v>
      </c>
      <c r="J89" s="98"/>
      <c r="K89" s="99"/>
      <c r="L89" s="156"/>
      <c r="M89" s="227"/>
      <c r="N89" s="163">
        <f t="shared" si="8"/>
        <v>0</v>
      </c>
      <c r="O89" s="98"/>
      <c r="P89" s="232"/>
    </row>
    <row r="90" spans="1:16" customFormat="1" x14ac:dyDescent="0.25">
      <c r="A90" s="87"/>
      <c r="B90" s="88" t="s">
        <v>94</v>
      </c>
      <c r="C90" s="87"/>
      <c r="D90" s="87"/>
      <c r="E90" s="87"/>
      <c r="F90" s="185"/>
      <c r="G90" s="196"/>
      <c r="H90" s="222">
        <f t="shared" si="4"/>
        <v>0</v>
      </c>
      <c r="I90" s="222">
        <f t="shared" si="9"/>
        <v>0</v>
      </c>
      <c r="J90" s="103"/>
      <c r="K90" s="104"/>
      <c r="L90" s="159"/>
      <c r="M90" s="231"/>
      <c r="N90" s="163">
        <f t="shared" si="8"/>
        <v>0</v>
      </c>
      <c r="O90" s="103"/>
      <c r="P90" s="232"/>
    </row>
    <row r="91" spans="1:16" customFormat="1" ht="30" x14ac:dyDescent="0.25">
      <c r="A91" s="87">
        <v>8.1</v>
      </c>
      <c r="B91" s="46" t="s">
        <v>65</v>
      </c>
      <c r="C91" s="87" t="s">
        <v>12</v>
      </c>
      <c r="D91" s="214">
        <f>(C6*3.7*2)+(C6*0.15)+(5*0.15*3.7)</f>
        <v>319.12</v>
      </c>
      <c r="E91" s="87">
        <v>60</v>
      </c>
      <c r="F91" s="185">
        <f t="shared" si="10"/>
        <v>120</v>
      </c>
      <c r="G91" s="196">
        <v>38294.400000000001</v>
      </c>
      <c r="H91" s="222">
        <f t="shared" si="4"/>
        <v>19147.2</v>
      </c>
      <c r="I91" s="222">
        <f t="shared" si="9"/>
        <v>-19147.2</v>
      </c>
      <c r="J91" s="103"/>
      <c r="K91" s="104"/>
      <c r="L91" s="160">
        <f>G91</f>
        <v>38294.400000000001</v>
      </c>
      <c r="M91" s="231">
        <v>0</v>
      </c>
      <c r="N91" s="163">
        <f t="shared" si="8"/>
        <v>0</v>
      </c>
      <c r="O91" s="103" t="s">
        <v>175</v>
      </c>
      <c r="P91" s="232">
        <f>+M91/D91</f>
        <v>0</v>
      </c>
    </row>
    <row r="92" spans="1:16" customFormat="1" ht="30" x14ac:dyDescent="0.25">
      <c r="A92" s="87">
        <v>8.1999999999999993</v>
      </c>
      <c r="B92" s="46" t="s">
        <v>62</v>
      </c>
      <c r="C92" s="87" t="s">
        <v>12</v>
      </c>
      <c r="D92" s="214">
        <f>(C9*1.5*2)+(C9*0.15)+(4*0.15*1.5)</f>
        <v>51.3</v>
      </c>
      <c r="E92" s="87">
        <v>60</v>
      </c>
      <c r="F92" s="185">
        <f t="shared" si="10"/>
        <v>120</v>
      </c>
      <c r="G92" s="196">
        <v>6156</v>
      </c>
      <c r="H92" s="222">
        <f t="shared" si="4"/>
        <v>3078</v>
      </c>
      <c r="I92" s="222">
        <f t="shared" si="9"/>
        <v>-3078</v>
      </c>
      <c r="J92" s="103"/>
      <c r="K92" s="104"/>
      <c r="L92" s="160">
        <f t="shared" ref="L92:L109" si="11">G92</f>
        <v>6156</v>
      </c>
      <c r="M92" s="231">
        <v>0</v>
      </c>
      <c r="N92" s="163">
        <f t="shared" si="8"/>
        <v>0</v>
      </c>
      <c r="O92" s="103" t="s">
        <v>175</v>
      </c>
      <c r="P92" s="232">
        <f>+M92/D92</f>
        <v>0</v>
      </c>
    </row>
    <row r="93" spans="1:16" customFormat="1" x14ac:dyDescent="0.25">
      <c r="A93" s="87"/>
      <c r="B93" s="88" t="s">
        <v>95</v>
      </c>
      <c r="C93" s="87"/>
      <c r="D93" s="87"/>
      <c r="E93" s="87"/>
      <c r="F93" s="185"/>
      <c r="G93" s="196"/>
      <c r="H93" s="222">
        <f t="shared" ref="H93:H156" si="12">+D93*E93</f>
        <v>0</v>
      </c>
      <c r="I93" s="222">
        <f t="shared" si="9"/>
        <v>0</v>
      </c>
      <c r="J93" s="103"/>
      <c r="K93" s="104"/>
      <c r="L93" s="160">
        <f t="shared" si="11"/>
        <v>0</v>
      </c>
      <c r="M93" s="231"/>
      <c r="N93" s="163">
        <f t="shared" si="8"/>
        <v>0</v>
      </c>
      <c r="O93" s="103"/>
      <c r="P93" s="232"/>
    </row>
    <row r="94" spans="1:16" ht="30" x14ac:dyDescent="0.25">
      <c r="A94" s="30">
        <v>8.3000000000000007</v>
      </c>
      <c r="B94" s="198" t="s">
        <v>23</v>
      </c>
      <c r="C94" s="30" t="s">
        <v>7</v>
      </c>
      <c r="D94" s="199">
        <v>1</v>
      </c>
      <c r="E94" s="30">
        <v>500</v>
      </c>
      <c r="F94" s="185">
        <f>+G94/D94</f>
        <v>500</v>
      </c>
      <c r="G94" s="185">
        <v>500</v>
      </c>
      <c r="H94" s="222">
        <f t="shared" si="12"/>
        <v>500</v>
      </c>
      <c r="I94" s="222">
        <f t="shared" si="9"/>
        <v>0</v>
      </c>
      <c r="J94" s="98"/>
      <c r="K94" s="99"/>
      <c r="L94" s="160">
        <f t="shared" si="11"/>
        <v>500</v>
      </c>
      <c r="M94" s="227">
        <f>0.363636363636364*D94</f>
        <v>0.36363636363636398</v>
      </c>
      <c r="N94" s="163">
        <f t="shared" si="8"/>
        <v>181.81818181818198</v>
      </c>
      <c r="O94" s="103" t="s">
        <v>176</v>
      </c>
      <c r="P94" s="232">
        <f>+M94/D94</f>
        <v>0.36363636363636398</v>
      </c>
    </row>
    <row r="95" spans="1:16" x14ac:dyDescent="0.25">
      <c r="A95" s="30">
        <v>8.4</v>
      </c>
      <c r="B95" s="200" t="s">
        <v>69</v>
      </c>
      <c r="C95" s="30" t="s">
        <v>7</v>
      </c>
      <c r="D95" s="199">
        <v>1</v>
      </c>
      <c r="E95" s="201">
        <v>500</v>
      </c>
      <c r="F95" s="185">
        <f t="shared" ref="F95:F157" si="13">+G95/D95</f>
        <v>500</v>
      </c>
      <c r="G95" s="202">
        <v>500</v>
      </c>
      <c r="H95" s="222">
        <f t="shared" si="12"/>
        <v>500</v>
      </c>
      <c r="I95" s="222">
        <f t="shared" si="9"/>
        <v>0</v>
      </c>
      <c r="J95" s="98"/>
      <c r="K95" s="99"/>
      <c r="L95" s="160">
        <f t="shared" si="11"/>
        <v>500</v>
      </c>
      <c r="M95" s="227">
        <v>0</v>
      </c>
      <c r="N95" s="163">
        <f t="shared" si="8"/>
        <v>0</v>
      </c>
      <c r="O95" s="103" t="s">
        <v>177</v>
      </c>
      <c r="P95" s="232">
        <f>+M95/D95</f>
        <v>0</v>
      </c>
    </row>
    <row r="96" spans="1:16" ht="30" x14ac:dyDescent="0.25">
      <c r="A96" s="30">
        <v>8.5</v>
      </c>
      <c r="B96" s="200" t="s">
        <v>81</v>
      </c>
      <c r="C96" s="201" t="s">
        <v>7</v>
      </c>
      <c r="D96" s="203">
        <v>1</v>
      </c>
      <c r="E96" s="201">
        <v>500</v>
      </c>
      <c r="F96" s="185">
        <f t="shared" si="13"/>
        <v>500</v>
      </c>
      <c r="G96" s="202">
        <v>500</v>
      </c>
      <c r="H96" s="222">
        <f t="shared" si="12"/>
        <v>500</v>
      </c>
      <c r="I96" s="222">
        <f t="shared" si="9"/>
        <v>0</v>
      </c>
      <c r="J96" s="98"/>
      <c r="K96" s="99"/>
      <c r="L96" s="160"/>
      <c r="M96" s="227">
        <f>+D96</f>
        <v>1</v>
      </c>
      <c r="N96" s="163">
        <f t="shared" si="8"/>
        <v>500</v>
      </c>
      <c r="O96" s="103"/>
      <c r="P96" s="232">
        <f>+M96/D96</f>
        <v>1</v>
      </c>
    </row>
    <row r="97" spans="1:16" ht="30" x14ac:dyDescent="0.25">
      <c r="A97" s="30">
        <v>8.6</v>
      </c>
      <c r="B97" s="200" t="s">
        <v>80</v>
      </c>
      <c r="C97" s="201" t="s">
        <v>7</v>
      </c>
      <c r="D97" s="203">
        <v>2</v>
      </c>
      <c r="E97" s="201">
        <v>500</v>
      </c>
      <c r="F97" s="185">
        <f t="shared" si="13"/>
        <v>500</v>
      </c>
      <c r="G97" s="202">
        <v>1000</v>
      </c>
      <c r="H97" s="222">
        <f t="shared" si="12"/>
        <v>1000</v>
      </c>
      <c r="I97" s="222">
        <f t="shared" si="9"/>
        <v>0</v>
      </c>
      <c r="J97" s="98"/>
      <c r="K97" s="99"/>
      <c r="L97" s="160">
        <f t="shared" si="11"/>
        <v>1000</v>
      </c>
      <c r="M97" s="227">
        <v>0</v>
      </c>
      <c r="N97" s="163">
        <f t="shared" si="8"/>
        <v>0</v>
      </c>
      <c r="O97" s="103" t="s">
        <v>178</v>
      </c>
      <c r="P97" s="232">
        <f>+M97/D97</f>
        <v>0</v>
      </c>
    </row>
    <row r="98" spans="1:16" customFormat="1" x14ac:dyDescent="0.25">
      <c r="A98" s="87"/>
      <c r="B98" s="88" t="s">
        <v>90</v>
      </c>
      <c r="C98" s="87"/>
      <c r="D98" s="197"/>
      <c r="E98" s="87"/>
      <c r="F98" s="185"/>
      <c r="G98" s="196"/>
      <c r="H98" s="222">
        <f t="shared" si="12"/>
        <v>0</v>
      </c>
      <c r="I98" s="222">
        <f t="shared" si="9"/>
        <v>0</v>
      </c>
      <c r="J98" s="103"/>
      <c r="K98" s="104"/>
      <c r="L98" s="160">
        <f t="shared" si="11"/>
        <v>0</v>
      </c>
      <c r="M98" s="231"/>
      <c r="N98" s="163">
        <f t="shared" si="8"/>
        <v>0</v>
      </c>
      <c r="O98" s="103"/>
      <c r="P98" s="232"/>
    </row>
    <row r="99" spans="1:16" customFormat="1" ht="30" x14ac:dyDescent="0.25">
      <c r="A99" s="87">
        <v>8.6999999999999993</v>
      </c>
      <c r="B99" s="46" t="s">
        <v>125</v>
      </c>
      <c r="C99" s="87" t="s">
        <v>12</v>
      </c>
      <c r="D99" s="84">
        <f>(C10*1*2)+(C10*0.15)+(6*1*0.15)</f>
        <v>171.82500000000002</v>
      </c>
      <c r="E99" s="87">
        <v>35</v>
      </c>
      <c r="F99" s="185">
        <f t="shared" si="13"/>
        <v>70.00203695620543</v>
      </c>
      <c r="G99" s="196">
        <v>12028.1</v>
      </c>
      <c r="H99" s="222">
        <f t="shared" si="12"/>
        <v>6013.8750000000009</v>
      </c>
      <c r="I99" s="222">
        <f t="shared" si="9"/>
        <v>-6014.2249999999995</v>
      </c>
      <c r="J99" s="103"/>
      <c r="K99" s="104"/>
      <c r="L99" s="160">
        <f t="shared" si="11"/>
        <v>12028.1</v>
      </c>
      <c r="M99" s="231">
        <v>0</v>
      </c>
      <c r="N99" s="163">
        <f t="shared" si="8"/>
        <v>0</v>
      </c>
      <c r="O99" s="103" t="s">
        <v>167</v>
      </c>
      <c r="P99" s="232">
        <f>+M99/D99</f>
        <v>0</v>
      </c>
    </row>
    <row r="100" spans="1:16" x14ac:dyDescent="0.25">
      <c r="A100" s="30"/>
      <c r="B100" s="88" t="s">
        <v>96</v>
      </c>
      <c r="C100" s="30"/>
      <c r="D100" s="30"/>
      <c r="E100" s="30"/>
      <c r="F100" s="185"/>
      <c r="G100" s="185"/>
      <c r="H100" s="222">
        <f t="shared" si="12"/>
        <v>0</v>
      </c>
      <c r="I100" s="222">
        <f t="shared" si="9"/>
        <v>0</v>
      </c>
      <c r="J100" s="98"/>
      <c r="K100" s="99"/>
      <c r="L100" s="160">
        <f t="shared" si="11"/>
        <v>0</v>
      </c>
      <c r="M100" s="227"/>
      <c r="N100" s="163">
        <f t="shared" si="8"/>
        <v>0</v>
      </c>
      <c r="O100" s="98"/>
      <c r="P100" s="232"/>
    </row>
    <row r="101" spans="1:16" ht="30" x14ac:dyDescent="0.25">
      <c r="A101" s="204">
        <v>8.6999999999999993</v>
      </c>
      <c r="B101" s="198" t="s">
        <v>24</v>
      </c>
      <c r="C101" s="30" t="s">
        <v>7</v>
      </c>
      <c r="D101" s="199">
        <v>1</v>
      </c>
      <c r="E101" s="30">
        <v>2000</v>
      </c>
      <c r="F101" s="185">
        <f t="shared" si="13"/>
        <v>2000</v>
      </c>
      <c r="G101" s="185">
        <v>2000</v>
      </c>
      <c r="H101" s="222">
        <f t="shared" si="12"/>
        <v>2000</v>
      </c>
      <c r="I101" s="222">
        <f t="shared" si="9"/>
        <v>0</v>
      </c>
      <c r="J101" s="98"/>
      <c r="K101" s="99"/>
      <c r="L101" s="160">
        <f t="shared" si="11"/>
        <v>2000</v>
      </c>
      <c r="M101" s="227">
        <v>0.97484276729559749</v>
      </c>
      <c r="N101" s="163">
        <f t="shared" si="8"/>
        <v>1949.6855345911949</v>
      </c>
      <c r="O101" s="98" t="s">
        <v>179</v>
      </c>
      <c r="P101" s="232">
        <f>+M101/D101</f>
        <v>0.97484276729559749</v>
      </c>
    </row>
    <row r="102" spans="1:16" ht="30" x14ac:dyDescent="0.25">
      <c r="A102" s="204">
        <v>8.9</v>
      </c>
      <c r="B102" s="200" t="s">
        <v>76</v>
      </c>
      <c r="C102" s="201" t="s">
        <v>7</v>
      </c>
      <c r="D102" s="203">
        <v>1</v>
      </c>
      <c r="E102" s="201">
        <v>1000</v>
      </c>
      <c r="F102" s="185">
        <f t="shared" si="13"/>
        <v>1000</v>
      </c>
      <c r="G102" s="202">
        <v>1000</v>
      </c>
      <c r="H102" s="222">
        <f t="shared" si="12"/>
        <v>1000</v>
      </c>
      <c r="I102" s="222">
        <f t="shared" si="9"/>
        <v>0</v>
      </c>
      <c r="J102" s="98"/>
      <c r="K102" s="99"/>
      <c r="L102" s="160">
        <f t="shared" si="11"/>
        <v>1000</v>
      </c>
      <c r="M102" s="227">
        <v>0</v>
      </c>
      <c r="N102" s="163">
        <f t="shared" si="8"/>
        <v>0</v>
      </c>
      <c r="O102" s="98" t="s">
        <v>180</v>
      </c>
      <c r="P102" s="232">
        <f>+M102/D102</f>
        <v>0</v>
      </c>
    </row>
    <row r="103" spans="1:16" customFormat="1" x14ac:dyDescent="0.25">
      <c r="A103" s="87"/>
      <c r="B103" s="88" t="s">
        <v>93</v>
      </c>
      <c r="C103" s="87"/>
      <c r="D103" s="197"/>
      <c r="E103" s="87"/>
      <c r="F103" s="185"/>
      <c r="G103" s="196"/>
      <c r="H103" s="222">
        <f t="shared" si="12"/>
        <v>0</v>
      </c>
      <c r="I103" s="222">
        <f t="shared" si="9"/>
        <v>0</v>
      </c>
      <c r="J103" s="103"/>
      <c r="K103" s="104"/>
      <c r="L103" s="160">
        <f t="shared" si="11"/>
        <v>0</v>
      </c>
      <c r="M103" s="231"/>
      <c r="N103" s="163">
        <f t="shared" si="8"/>
        <v>0</v>
      </c>
      <c r="O103" s="103"/>
      <c r="P103" s="232"/>
    </row>
    <row r="104" spans="1:16" x14ac:dyDescent="0.25">
      <c r="A104" s="80">
        <v>8.1</v>
      </c>
      <c r="B104" s="200" t="s">
        <v>58</v>
      </c>
      <c r="C104" s="201" t="s">
        <v>7</v>
      </c>
      <c r="D104" s="211">
        <v>2</v>
      </c>
      <c r="E104" s="201">
        <v>250</v>
      </c>
      <c r="F104" s="185">
        <f t="shared" si="13"/>
        <v>250</v>
      </c>
      <c r="G104" s="202">
        <v>500</v>
      </c>
      <c r="H104" s="222">
        <f t="shared" si="12"/>
        <v>500</v>
      </c>
      <c r="I104" s="222">
        <f t="shared" si="9"/>
        <v>0</v>
      </c>
      <c r="J104" s="98"/>
      <c r="K104" s="99"/>
      <c r="L104" s="160">
        <f t="shared" si="11"/>
        <v>500</v>
      </c>
      <c r="M104" s="227">
        <v>0</v>
      </c>
      <c r="N104" s="163">
        <f t="shared" si="8"/>
        <v>0</v>
      </c>
      <c r="O104" s="98" t="s">
        <v>167</v>
      </c>
      <c r="P104" s="232">
        <f>+M104/D104</f>
        <v>0</v>
      </c>
    </row>
    <row r="105" spans="1:16" ht="30" x14ac:dyDescent="0.25">
      <c r="A105" s="80">
        <v>8.11</v>
      </c>
      <c r="B105" s="200" t="s">
        <v>70</v>
      </c>
      <c r="C105" s="30" t="s">
        <v>7</v>
      </c>
      <c r="D105" s="217">
        <v>2</v>
      </c>
      <c r="E105" s="201">
        <v>250</v>
      </c>
      <c r="F105" s="185">
        <f t="shared" si="13"/>
        <v>250</v>
      </c>
      <c r="G105" s="202">
        <v>500</v>
      </c>
      <c r="H105" s="222">
        <f t="shared" si="12"/>
        <v>500</v>
      </c>
      <c r="I105" s="222">
        <f t="shared" si="9"/>
        <v>0</v>
      </c>
      <c r="J105" s="98"/>
      <c r="K105" s="99"/>
      <c r="L105" s="160">
        <f t="shared" si="11"/>
        <v>500</v>
      </c>
      <c r="M105" s="227">
        <v>0</v>
      </c>
      <c r="N105" s="163">
        <f t="shared" si="8"/>
        <v>0</v>
      </c>
      <c r="O105" s="98" t="s">
        <v>181</v>
      </c>
      <c r="P105" s="232">
        <f>+M105/D105</f>
        <v>0</v>
      </c>
    </row>
    <row r="106" spans="1:16" customFormat="1" ht="60" x14ac:dyDescent="0.25">
      <c r="A106" s="80">
        <v>8.1199999999999992</v>
      </c>
      <c r="B106" s="46" t="s">
        <v>132</v>
      </c>
      <c r="C106" s="87" t="s">
        <v>12</v>
      </c>
      <c r="D106" s="129">
        <v>12.58</v>
      </c>
      <c r="E106" s="87">
        <v>65</v>
      </c>
      <c r="F106" s="185">
        <f t="shared" si="13"/>
        <v>130</v>
      </c>
      <c r="G106" s="196">
        <v>1635.4</v>
      </c>
      <c r="H106" s="222">
        <f t="shared" si="12"/>
        <v>817.7</v>
      </c>
      <c r="I106" s="222">
        <f t="shared" si="9"/>
        <v>-817.7</v>
      </c>
      <c r="J106" s="103"/>
      <c r="K106" s="104"/>
      <c r="L106" s="160">
        <f t="shared" si="11"/>
        <v>1635.4</v>
      </c>
      <c r="M106" s="231">
        <v>0</v>
      </c>
      <c r="N106" s="163">
        <f t="shared" si="8"/>
        <v>0</v>
      </c>
      <c r="O106" s="103" t="s">
        <v>167</v>
      </c>
      <c r="P106" s="232">
        <f>+M106/D106</f>
        <v>0</v>
      </c>
    </row>
    <row r="107" spans="1:16" customFormat="1" x14ac:dyDescent="0.25">
      <c r="A107" s="80"/>
      <c r="B107" s="88" t="s">
        <v>143</v>
      </c>
      <c r="C107" s="87"/>
      <c r="D107" s="85"/>
      <c r="E107" s="87"/>
      <c r="F107" s="185"/>
      <c r="G107" s="196"/>
      <c r="H107" s="222">
        <f t="shared" si="12"/>
        <v>0</v>
      </c>
      <c r="I107" s="222">
        <f t="shared" si="9"/>
        <v>0</v>
      </c>
      <c r="J107" s="103"/>
      <c r="K107" s="104"/>
      <c r="L107" s="160">
        <f t="shared" si="11"/>
        <v>0</v>
      </c>
      <c r="M107" s="231"/>
      <c r="N107" s="163">
        <f t="shared" si="8"/>
        <v>0</v>
      </c>
      <c r="O107" s="103"/>
      <c r="P107" s="232"/>
    </row>
    <row r="108" spans="1:16" customFormat="1" ht="30" x14ac:dyDescent="0.25">
      <c r="A108" s="80">
        <v>8.1300000000000008</v>
      </c>
      <c r="B108" s="46" t="s">
        <v>144</v>
      </c>
      <c r="C108" s="87" t="s">
        <v>7</v>
      </c>
      <c r="D108" s="89">
        <v>1</v>
      </c>
      <c r="E108" s="87">
        <v>500</v>
      </c>
      <c r="F108" s="185">
        <f t="shared" si="13"/>
        <v>500</v>
      </c>
      <c r="G108" s="196">
        <v>500</v>
      </c>
      <c r="H108" s="222">
        <f t="shared" si="12"/>
        <v>500</v>
      </c>
      <c r="I108" s="222">
        <f t="shared" si="9"/>
        <v>0</v>
      </c>
      <c r="J108" s="103"/>
      <c r="K108" s="104"/>
      <c r="L108" s="160">
        <f t="shared" si="11"/>
        <v>500</v>
      </c>
      <c r="M108" s="231">
        <v>0</v>
      </c>
      <c r="N108" s="163">
        <f t="shared" si="8"/>
        <v>0</v>
      </c>
      <c r="O108" s="103"/>
      <c r="P108" s="232">
        <f>+M108/D108</f>
        <v>0</v>
      </c>
    </row>
    <row r="109" spans="1:16" customFormat="1" ht="30" x14ac:dyDescent="0.25">
      <c r="A109" s="80">
        <v>8.14</v>
      </c>
      <c r="B109" s="46" t="s">
        <v>145</v>
      </c>
      <c r="C109" s="87" t="s">
        <v>12</v>
      </c>
      <c r="D109" s="90">
        <f>(6.6*2)+(2.5*8)+(1.5*(6.6+2.5+2.5+2.5+2.5))</f>
        <v>58.100000000000009</v>
      </c>
      <c r="E109" s="87">
        <v>55</v>
      </c>
      <c r="F109" s="185">
        <f t="shared" si="13"/>
        <v>109.99999999999999</v>
      </c>
      <c r="G109" s="196">
        <v>6391</v>
      </c>
      <c r="H109" s="222">
        <f t="shared" si="12"/>
        <v>3195.5000000000005</v>
      </c>
      <c r="I109" s="222">
        <f t="shared" si="9"/>
        <v>-3195.4999999999995</v>
      </c>
      <c r="J109" s="103"/>
      <c r="K109" s="104"/>
      <c r="L109" s="160">
        <f t="shared" si="11"/>
        <v>6391</v>
      </c>
      <c r="M109" s="231">
        <v>0</v>
      </c>
      <c r="N109" s="163">
        <f t="shared" si="8"/>
        <v>0</v>
      </c>
      <c r="O109" s="103" t="s">
        <v>167</v>
      </c>
      <c r="P109" s="232">
        <f>+M109/D109</f>
        <v>0</v>
      </c>
    </row>
    <row r="110" spans="1:16" x14ac:dyDescent="0.25">
      <c r="A110" s="83"/>
      <c r="B110" s="86"/>
      <c r="C110" s="83"/>
      <c r="D110" s="83"/>
      <c r="E110" s="83"/>
      <c r="F110" s="185"/>
      <c r="G110" s="116">
        <v>71504.899999999994</v>
      </c>
      <c r="H110" s="222">
        <f t="shared" si="12"/>
        <v>0</v>
      </c>
      <c r="I110" s="222"/>
      <c r="J110" s="35"/>
      <c r="K110" s="99"/>
      <c r="L110" s="156"/>
      <c r="M110" s="213"/>
      <c r="N110" s="163">
        <f t="shared" si="8"/>
        <v>0</v>
      </c>
      <c r="O110" s="35"/>
      <c r="P110" s="232"/>
    </row>
    <row r="111" spans="1:16" x14ac:dyDescent="0.25">
      <c r="A111" s="205">
        <v>9</v>
      </c>
      <c r="B111" s="206" t="s">
        <v>25</v>
      </c>
      <c r="C111" s="193"/>
      <c r="D111" s="193"/>
      <c r="E111" s="193"/>
      <c r="F111" s="185"/>
      <c r="G111" s="194"/>
      <c r="H111" s="222">
        <f t="shared" si="12"/>
        <v>0</v>
      </c>
      <c r="I111" s="222">
        <f t="shared" si="9"/>
        <v>0</v>
      </c>
      <c r="J111" s="98"/>
      <c r="K111" s="99"/>
      <c r="L111" s="156"/>
      <c r="M111" s="213"/>
      <c r="N111" s="163">
        <f t="shared" si="8"/>
        <v>0</v>
      </c>
      <c r="O111" s="98"/>
      <c r="P111" s="232"/>
    </row>
    <row r="112" spans="1:16" x14ac:dyDescent="0.25">
      <c r="A112" s="205"/>
      <c r="B112" s="88" t="s">
        <v>89</v>
      </c>
      <c r="C112" s="193"/>
      <c r="D112" s="193"/>
      <c r="E112" s="193"/>
      <c r="F112" s="185"/>
      <c r="G112" s="194"/>
      <c r="H112" s="222">
        <f t="shared" si="12"/>
        <v>0</v>
      </c>
      <c r="I112" s="222">
        <f t="shared" si="9"/>
        <v>0</v>
      </c>
      <c r="J112" s="98"/>
      <c r="K112" s="99"/>
      <c r="L112" s="156"/>
      <c r="M112" s="213"/>
      <c r="N112" s="163">
        <f t="shared" si="8"/>
        <v>0</v>
      </c>
      <c r="O112" s="98"/>
      <c r="P112" s="232"/>
    </row>
    <row r="113" spans="1:19" ht="45" x14ac:dyDescent="0.25">
      <c r="A113" s="30">
        <v>9.1</v>
      </c>
      <c r="B113" s="46" t="s">
        <v>28</v>
      </c>
      <c r="C113" s="30" t="s">
        <v>12</v>
      </c>
      <c r="D113" s="188">
        <f>C4*4.8</f>
        <v>111.36</v>
      </c>
      <c r="E113" s="30">
        <v>85</v>
      </c>
      <c r="F113" s="185">
        <f t="shared" si="13"/>
        <v>170.00897988505747</v>
      </c>
      <c r="G113" s="185">
        <v>18932.2</v>
      </c>
      <c r="H113" s="222">
        <f t="shared" si="12"/>
        <v>9465.6</v>
      </c>
      <c r="I113" s="222">
        <f t="shared" si="9"/>
        <v>-9466.6</v>
      </c>
      <c r="J113" s="98"/>
      <c r="K113" s="99"/>
      <c r="L113" s="156"/>
      <c r="M113" s="227">
        <f>+D113</f>
        <v>111.36</v>
      </c>
      <c r="N113" s="163">
        <f t="shared" si="8"/>
        <v>18932.2</v>
      </c>
      <c r="O113" s="98"/>
      <c r="P113" s="232">
        <f>+M113/D113</f>
        <v>1</v>
      </c>
    </row>
    <row r="114" spans="1:19" ht="30" x14ac:dyDescent="0.25">
      <c r="A114" s="30">
        <v>9.1999999999999993</v>
      </c>
      <c r="B114" s="46" t="s">
        <v>26</v>
      </c>
      <c r="C114" s="30" t="s">
        <v>20</v>
      </c>
      <c r="D114" s="84">
        <f>C4+C5+C5</f>
        <v>31.8</v>
      </c>
      <c r="E114" s="30">
        <v>150</v>
      </c>
      <c r="F114" s="185">
        <f t="shared" si="13"/>
        <v>150</v>
      </c>
      <c r="G114" s="185">
        <v>4770</v>
      </c>
      <c r="H114" s="222">
        <f t="shared" si="12"/>
        <v>4770</v>
      </c>
      <c r="I114" s="222">
        <f t="shared" si="9"/>
        <v>0</v>
      </c>
      <c r="J114" s="98"/>
      <c r="K114" s="99"/>
      <c r="L114" s="156"/>
      <c r="M114" s="227">
        <v>0</v>
      </c>
      <c r="N114" s="163">
        <f t="shared" si="8"/>
        <v>0</v>
      </c>
      <c r="O114" s="98" t="s">
        <v>167</v>
      </c>
      <c r="P114" s="232">
        <f>+M114/D114</f>
        <v>0</v>
      </c>
    </row>
    <row r="115" spans="1:19" ht="30" x14ac:dyDescent="0.25">
      <c r="A115" s="30">
        <v>9.3000000000000007</v>
      </c>
      <c r="B115" s="46" t="s">
        <v>52</v>
      </c>
      <c r="C115" s="30" t="s">
        <v>20</v>
      </c>
      <c r="D115" s="188">
        <f>C4*3</f>
        <v>69.599999999999994</v>
      </c>
      <c r="E115" s="30">
        <v>85</v>
      </c>
      <c r="F115" s="185">
        <f t="shared" si="13"/>
        <v>85</v>
      </c>
      <c r="G115" s="185">
        <v>5916</v>
      </c>
      <c r="H115" s="222">
        <f t="shared" si="12"/>
        <v>5915.9999999999991</v>
      </c>
      <c r="I115" s="222">
        <f t="shared" si="9"/>
        <v>0</v>
      </c>
      <c r="J115" s="98"/>
      <c r="K115" s="99"/>
      <c r="L115" s="156"/>
      <c r="M115" s="227">
        <f>+C4*2</f>
        <v>46.4</v>
      </c>
      <c r="N115" s="163">
        <f t="shared" ref="N115:N146" si="14">+M115*F115</f>
        <v>3944</v>
      </c>
      <c r="O115" s="98" t="s">
        <v>198</v>
      </c>
      <c r="P115" s="232">
        <f>+M115/D115</f>
        <v>0.66666666666666674</v>
      </c>
    </row>
    <row r="116" spans="1:19" ht="30" x14ac:dyDescent="0.25">
      <c r="A116" s="30">
        <v>9.4</v>
      </c>
      <c r="B116" s="46" t="s">
        <v>29</v>
      </c>
      <c r="C116" s="30" t="s">
        <v>20</v>
      </c>
      <c r="D116" s="84">
        <f>C4/0.9</f>
        <v>25.777777777777775</v>
      </c>
      <c r="E116" s="30">
        <v>150</v>
      </c>
      <c r="F116" s="185">
        <f t="shared" si="13"/>
        <v>150.01293103448276</v>
      </c>
      <c r="G116" s="185">
        <v>3867</v>
      </c>
      <c r="H116" s="222">
        <f t="shared" si="12"/>
        <v>3866.6666666666661</v>
      </c>
      <c r="I116" s="222">
        <f t="shared" si="9"/>
        <v>-0.33333333333393966</v>
      </c>
      <c r="J116" s="98"/>
      <c r="K116" s="99"/>
      <c r="L116" s="156"/>
      <c r="M116" s="227">
        <f>+D116</f>
        <v>25.777777777777775</v>
      </c>
      <c r="N116" s="163">
        <f t="shared" si="14"/>
        <v>3866.9999999999995</v>
      </c>
      <c r="O116" s="98"/>
      <c r="P116" s="232">
        <f>+M116/D116</f>
        <v>1</v>
      </c>
    </row>
    <row r="117" spans="1:19" ht="30" x14ac:dyDescent="0.25">
      <c r="A117" s="30">
        <v>9.5</v>
      </c>
      <c r="B117" s="46" t="s">
        <v>30</v>
      </c>
      <c r="C117" s="30" t="s">
        <v>20</v>
      </c>
      <c r="D117" s="84">
        <f>C4/0.6</f>
        <v>38.666666666666664</v>
      </c>
      <c r="E117" s="30">
        <v>150</v>
      </c>
      <c r="F117" s="185">
        <f t="shared" si="13"/>
        <v>150.01293103448276</v>
      </c>
      <c r="G117" s="185">
        <v>5800.5</v>
      </c>
      <c r="H117" s="222">
        <f t="shared" si="12"/>
        <v>5800</v>
      </c>
      <c r="I117" s="222">
        <f t="shared" si="9"/>
        <v>-0.5</v>
      </c>
      <c r="J117" s="98"/>
      <c r="K117" s="99"/>
      <c r="L117" s="156"/>
      <c r="M117" s="227">
        <f>+D117</f>
        <v>38.666666666666664</v>
      </c>
      <c r="N117" s="163">
        <f t="shared" si="14"/>
        <v>5800.5</v>
      </c>
      <c r="O117" s="98"/>
      <c r="P117" s="232">
        <f>+M117/D117</f>
        <v>1</v>
      </c>
      <c r="Q117" s="39">
        <f>+C5/0.6*C4</f>
        <v>166.26666666666668</v>
      </c>
      <c r="S117" s="39">
        <f>23.2*5</f>
        <v>116</v>
      </c>
    </row>
    <row r="118" spans="1:19" x14ac:dyDescent="0.25">
      <c r="A118" s="205"/>
      <c r="B118" s="88" t="s">
        <v>93</v>
      </c>
      <c r="C118" s="193"/>
      <c r="D118" s="193"/>
      <c r="E118" s="193"/>
      <c r="F118" s="185"/>
      <c r="G118" s="194"/>
      <c r="H118" s="222">
        <f t="shared" si="12"/>
        <v>0</v>
      </c>
      <c r="I118" s="222">
        <f t="shared" si="9"/>
        <v>0</v>
      </c>
      <c r="J118" s="98"/>
      <c r="K118" s="99"/>
      <c r="L118" s="156"/>
      <c r="M118" s="213"/>
      <c r="N118" s="163">
        <f t="shared" si="14"/>
        <v>0</v>
      </c>
      <c r="O118" s="98"/>
      <c r="P118" s="232"/>
    </row>
    <row r="119" spans="1:19" ht="45" x14ac:dyDescent="0.25">
      <c r="A119" s="30">
        <v>9.6</v>
      </c>
      <c r="B119" s="46" t="s">
        <v>133</v>
      </c>
      <c r="C119" s="30" t="s">
        <v>12</v>
      </c>
      <c r="D119" s="221">
        <f>2*2</f>
        <v>4</v>
      </c>
      <c r="E119" s="30">
        <v>500</v>
      </c>
      <c r="F119" s="185">
        <f t="shared" si="13"/>
        <v>1000</v>
      </c>
      <c r="G119" s="185">
        <v>4000</v>
      </c>
      <c r="H119" s="222">
        <f t="shared" si="12"/>
        <v>2000</v>
      </c>
      <c r="I119" s="222">
        <f t="shared" si="9"/>
        <v>-2000</v>
      </c>
      <c r="J119" s="98"/>
      <c r="K119" s="99"/>
      <c r="L119" s="156"/>
      <c r="M119" s="227">
        <f>+D119</f>
        <v>4</v>
      </c>
      <c r="N119" s="163">
        <f t="shared" si="14"/>
        <v>4000</v>
      </c>
      <c r="O119" s="98"/>
      <c r="P119" s="232">
        <f>+M119/D119</f>
        <v>1</v>
      </c>
    </row>
    <row r="120" spans="1:19" ht="30" x14ac:dyDescent="0.25">
      <c r="A120" s="30">
        <v>9.6999999999999993</v>
      </c>
      <c r="B120" s="46" t="s">
        <v>134</v>
      </c>
      <c r="C120" s="30" t="s">
        <v>20</v>
      </c>
      <c r="D120" s="221">
        <f>(2/1)*2</f>
        <v>4</v>
      </c>
      <c r="E120" s="30">
        <v>268</v>
      </c>
      <c r="F120" s="185">
        <f t="shared" si="13"/>
        <v>268</v>
      </c>
      <c r="G120" s="185">
        <v>1072</v>
      </c>
      <c r="H120" s="222">
        <f t="shared" si="12"/>
        <v>1072</v>
      </c>
      <c r="I120" s="222">
        <f t="shared" si="9"/>
        <v>0</v>
      </c>
      <c r="J120" s="98"/>
      <c r="K120" s="99"/>
      <c r="L120" s="156"/>
      <c r="M120" s="227">
        <f>+D120</f>
        <v>4</v>
      </c>
      <c r="N120" s="163">
        <f t="shared" si="14"/>
        <v>1072</v>
      </c>
      <c r="O120" s="98"/>
      <c r="P120" s="232">
        <f>+M120/D120</f>
        <v>1</v>
      </c>
    </row>
    <row r="121" spans="1:19" ht="30" x14ac:dyDescent="0.25">
      <c r="A121" s="30">
        <v>9.8000000000000007</v>
      </c>
      <c r="B121" s="46" t="s">
        <v>135</v>
      </c>
      <c r="C121" s="30" t="s">
        <v>20</v>
      </c>
      <c r="D121" s="221">
        <f>(2/0.6)*2</f>
        <v>6.666666666666667</v>
      </c>
      <c r="E121" s="30">
        <v>150</v>
      </c>
      <c r="F121" s="185">
        <f t="shared" si="13"/>
        <v>150.07499999999999</v>
      </c>
      <c r="G121" s="185">
        <v>1000.5</v>
      </c>
      <c r="H121" s="222">
        <f t="shared" si="12"/>
        <v>1000</v>
      </c>
      <c r="I121" s="222">
        <f t="shared" si="9"/>
        <v>-0.5</v>
      </c>
      <c r="J121" s="98"/>
      <c r="K121" s="99"/>
      <c r="L121" s="156"/>
      <c r="M121" s="227">
        <f>+D121</f>
        <v>6.666666666666667</v>
      </c>
      <c r="N121" s="163">
        <f t="shared" si="14"/>
        <v>1000.5</v>
      </c>
      <c r="O121" s="98"/>
      <c r="P121" s="232">
        <f>+M121/D121</f>
        <v>1</v>
      </c>
    </row>
    <row r="122" spans="1:19" x14ac:dyDescent="0.25">
      <c r="A122" s="30"/>
      <c r="B122" s="187"/>
      <c r="C122" s="30"/>
      <c r="D122" s="30"/>
      <c r="E122" s="30"/>
      <c r="F122" s="185"/>
      <c r="G122" s="116">
        <v>45358.2</v>
      </c>
      <c r="H122" s="222">
        <f t="shared" si="12"/>
        <v>0</v>
      </c>
      <c r="I122" s="222"/>
      <c r="J122" s="98"/>
      <c r="K122" s="99"/>
      <c r="L122" s="156"/>
      <c r="M122" s="213"/>
      <c r="N122" s="163">
        <f t="shared" si="14"/>
        <v>0</v>
      </c>
      <c r="O122" s="98"/>
      <c r="P122" s="232"/>
    </row>
    <row r="123" spans="1:19" x14ac:dyDescent="0.25">
      <c r="A123" s="83">
        <v>10</v>
      </c>
      <c r="B123" s="86" t="s">
        <v>49</v>
      </c>
      <c r="C123" s="30"/>
      <c r="D123" s="30"/>
      <c r="E123" s="30"/>
      <c r="F123" s="185"/>
      <c r="G123" s="185"/>
      <c r="H123" s="222">
        <f t="shared" si="12"/>
        <v>0</v>
      </c>
      <c r="I123" s="222">
        <f t="shared" si="9"/>
        <v>0</v>
      </c>
      <c r="J123" s="98"/>
      <c r="K123" s="99"/>
      <c r="L123" s="156"/>
      <c r="M123" s="213"/>
      <c r="N123" s="163">
        <f t="shared" si="14"/>
        <v>0</v>
      </c>
      <c r="O123" s="98"/>
      <c r="P123" s="232"/>
    </row>
    <row r="124" spans="1:19" x14ac:dyDescent="0.25">
      <c r="A124" s="83"/>
      <c r="B124" s="88" t="s">
        <v>89</v>
      </c>
      <c r="C124" s="30"/>
      <c r="D124" s="30"/>
      <c r="E124" s="30"/>
      <c r="F124" s="185"/>
      <c r="G124" s="185"/>
      <c r="H124" s="222">
        <f t="shared" si="12"/>
        <v>0</v>
      </c>
      <c r="I124" s="222">
        <f t="shared" si="9"/>
        <v>0</v>
      </c>
      <c r="J124" s="98"/>
      <c r="K124" s="99"/>
      <c r="L124" s="156"/>
      <c r="M124" s="213"/>
      <c r="N124" s="163">
        <f t="shared" si="14"/>
        <v>0</v>
      </c>
      <c r="O124" s="98"/>
      <c r="P124" s="232"/>
    </row>
    <row r="125" spans="1:19" ht="45" x14ac:dyDescent="0.25">
      <c r="A125" s="30">
        <v>10.1</v>
      </c>
      <c r="B125" s="46" t="s">
        <v>53</v>
      </c>
      <c r="C125" s="30" t="s">
        <v>27</v>
      </c>
      <c r="D125" s="122">
        <v>4</v>
      </c>
      <c r="E125" s="30">
        <v>150</v>
      </c>
      <c r="F125" s="185">
        <f t="shared" si="13"/>
        <v>150</v>
      </c>
      <c r="G125" s="185">
        <v>600</v>
      </c>
      <c r="H125" s="222">
        <f t="shared" si="12"/>
        <v>600</v>
      </c>
      <c r="I125" s="222">
        <f t="shared" si="9"/>
        <v>0</v>
      </c>
      <c r="J125" s="98"/>
      <c r="K125" s="99"/>
      <c r="L125" s="157">
        <f>G125</f>
        <v>600</v>
      </c>
      <c r="M125" s="227">
        <v>0</v>
      </c>
      <c r="N125" s="163">
        <f t="shared" si="14"/>
        <v>0</v>
      </c>
      <c r="O125" s="98" t="s">
        <v>182</v>
      </c>
      <c r="P125" s="232">
        <f t="shared" ref="P125:P132" si="15">+M125/D125</f>
        <v>0</v>
      </c>
    </row>
    <row r="126" spans="1:19" ht="60" x14ac:dyDescent="0.25">
      <c r="A126" s="30">
        <v>10.199999999999999</v>
      </c>
      <c r="B126" s="46" t="s">
        <v>78</v>
      </c>
      <c r="C126" s="30" t="s">
        <v>27</v>
      </c>
      <c r="D126" s="122">
        <v>1</v>
      </c>
      <c r="E126" s="30">
        <v>150</v>
      </c>
      <c r="F126" s="185">
        <f t="shared" si="13"/>
        <v>150</v>
      </c>
      <c r="G126" s="185">
        <v>150</v>
      </c>
      <c r="H126" s="222">
        <f t="shared" si="12"/>
        <v>150</v>
      </c>
      <c r="I126" s="222">
        <f t="shared" si="9"/>
        <v>0</v>
      </c>
      <c r="J126" s="98"/>
      <c r="K126" s="99"/>
      <c r="L126" s="157">
        <f t="shared" ref="L126:L136" si="16">G126</f>
        <v>150</v>
      </c>
      <c r="M126" s="227">
        <v>0</v>
      </c>
      <c r="N126" s="163">
        <f t="shared" si="14"/>
        <v>0</v>
      </c>
      <c r="O126" s="98" t="s">
        <v>183</v>
      </c>
      <c r="P126" s="232">
        <f t="shared" si="15"/>
        <v>0</v>
      </c>
    </row>
    <row r="127" spans="1:19" ht="75" x14ac:dyDescent="0.25">
      <c r="A127" s="30">
        <v>10.3</v>
      </c>
      <c r="B127" s="46" t="s">
        <v>79</v>
      </c>
      <c r="C127" s="30" t="s">
        <v>27</v>
      </c>
      <c r="D127" s="122">
        <v>1</v>
      </c>
      <c r="E127" s="30">
        <v>150</v>
      </c>
      <c r="F127" s="185">
        <f t="shared" si="13"/>
        <v>150</v>
      </c>
      <c r="G127" s="185">
        <v>150</v>
      </c>
      <c r="H127" s="222">
        <f t="shared" si="12"/>
        <v>150</v>
      </c>
      <c r="I127" s="222">
        <f t="shared" si="9"/>
        <v>0</v>
      </c>
      <c r="J127" s="98"/>
      <c r="K127" s="99"/>
      <c r="L127" s="157">
        <f t="shared" si="16"/>
        <v>150</v>
      </c>
      <c r="M127" s="227">
        <v>0</v>
      </c>
      <c r="N127" s="163">
        <f t="shared" si="14"/>
        <v>0</v>
      </c>
      <c r="O127" s="98" t="s">
        <v>184</v>
      </c>
      <c r="P127" s="232">
        <f t="shared" si="15"/>
        <v>0</v>
      </c>
    </row>
    <row r="128" spans="1:19" ht="75" x14ac:dyDescent="0.25">
      <c r="A128" s="30">
        <v>10.4</v>
      </c>
      <c r="B128" s="184" t="s">
        <v>72</v>
      </c>
      <c r="C128" s="193" t="s">
        <v>27</v>
      </c>
      <c r="D128" s="210">
        <v>1</v>
      </c>
      <c r="E128" s="30">
        <v>150</v>
      </c>
      <c r="F128" s="185">
        <f t="shared" si="13"/>
        <v>1500</v>
      </c>
      <c r="G128" s="185">
        <v>1500</v>
      </c>
      <c r="H128" s="222">
        <f t="shared" si="12"/>
        <v>150</v>
      </c>
      <c r="I128" s="222">
        <f t="shared" si="9"/>
        <v>-1350</v>
      </c>
      <c r="J128" s="98"/>
      <c r="K128" s="99"/>
      <c r="L128" s="157">
        <f t="shared" si="16"/>
        <v>1500</v>
      </c>
      <c r="M128" s="227">
        <v>0</v>
      </c>
      <c r="N128" s="163">
        <f t="shared" si="14"/>
        <v>0</v>
      </c>
      <c r="O128" s="98" t="s">
        <v>185</v>
      </c>
      <c r="P128" s="232">
        <f t="shared" si="15"/>
        <v>0</v>
      </c>
    </row>
    <row r="129" spans="1:16" ht="75" x14ac:dyDescent="0.25">
      <c r="A129" s="30">
        <v>10.5</v>
      </c>
      <c r="B129" s="184" t="s">
        <v>121</v>
      </c>
      <c r="C129" s="30" t="s">
        <v>7</v>
      </c>
      <c r="D129" s="30">
        <v>1</v>
      </c>
      <c r="E129" s="30">
        <v>2500</v>
      </c>
      <c r="F129" s="185">
        <f t="shared" si="13"/>
        <v>2500</v>
      </c>
      <c r="G129" s="185">
        <v>2500</v>
      </c>
      <c r="H129" s="222">
        <f t="shared" si="12"/>
        <v>2500</v>
      </c>
      <c r="I129" s="222">
        <f t="shared" si="9"/>
        <v>0</v>
      </c>
      <c r="J129" s="98"/>
      <c r="K129" s="99"/>
      <c r="L129" s="157">
        <f>G129</f>
        <v>2500</v>
      </c>
      <c r="M129" s="227">
        <v>0</v>
      </c>
      <c r="N129" s="163">
        <f t="shared" si="14"/>
        <v>0</v>
      </c>
      <c r="O129" s="98" t="s">
        <v>186</v>
      </c>
      <c r="P129" s="232">
        <f t="shared" si="15"/>
        <v>0</v>
      </c>
    </row>
    <row r="130" spans="1:16" ht="90" x14ac:dyDescent="0.25">
      <c r="A130" s="30">
        <v>10.6</v>
      </c>
      <c r="B130" s="184" t="s">
        <v>77</v>
      </c>
      <c r="C130" s="30" t="s">
        <v>7</v>
      </c>
      <c r="D130" s="122">
        <v>2</v>
      </c>
      <c r="E130" s="30">
        <v>500</v>
      </c>
      <c r="F130" s="185">
        <f t="shared" si="13"/>
        <v>500</v>
      </c>
      <c r="G130" s="185">
        <v>1000</v>
      </c>
      <c r="H130" s="222">
        <f t="shared" si="12"/>
        <v>1000</v>
      </c>
      <c r="I130" s="222">
        <f t="shared" si="9"/>
        <v>0</v>
      </c>
      <c r="J130" s="98"/>
      <c r="K130" s="99"/>
      <c r="L130" s="157">
        <f t="shared" si="16"/>
        <v>1000</v>
      </c>
      <c r="M130" s="216">
        <v>0</v>
      </c>
      <c r="N130" s="163">
        <f t="shared" si="14"/>
        <v>0</v>
      </c>
      <c r="O130" s="98" t="s">
        <v>187</v>
      </c>
      <c r="P130" s="232">
        <f t="shared" si="15"/>
        <v>0</v>
      </c>
    </row>
    <row r="131" spans="1:16" x14ac:dyDescent="0.25">
      <c r="A131" s="30">
        <v>10.7</v>
      </c>
      <c r="B131" s="184" t="s">
        <v>122</v>
      </c>
      <c r="C131" s="30" t="s">
        <v>7</v>
      </c>
      <c r="D131" s="122">
        <v>1</v>
      </c>
      <c r="E131" s="30"/>
      <c r="F131" s="185">
        <f t="shared" si="13"/>
        <v>0</v>
      </c>
      <c r="G131" s="185"/>
      <c r="H131" s="222">
        <f t="shared" si="12"/>
        <v>0</v>
      </c>
      <c r="I131" s="222">
        <f t="shared" si="9"/>
        <v>0</v>
      </c>
      <c r="J131" s="98"/>
      <c r="K131" s="99"/>
      <c r="L131" s="157">
        <f>G131</f>
        <v>0</v>
      </c>
      <c r="M131" s="227">
        <v>0</v>
      </c>
      <c r="N131" s="163">
        <f t="shared" si="14"/>
        <v>0</v>
      </c>
      <c r="O131" s="98" t="s">
        <v>188</v>
      </c>
      <c r="P131" s="232">
        <f t="shared" si="15"/>
        <v>0</v>
      </c>
    </row>
    <row r="132" spans="1:16" ht="45" x14ac:dyDescent="0.25">
      <c r="A132" s="30">
        <v>10.8</v>
      </c>
      <c r="B132" s="184" t="s">
        <v>123</v>
      </c>
      <c r="C132" s="30" t="s">
        <v>20</v>
      </c>
      <c r="D132" s="190">
        <v>150</v>
      </c>
      <c r="E132" s="30">
        <v>125</v>
      </c>
      <c r="F132" s="185">
        <f t="shared" si="13"/>
        <v>125</v>
      </c>
      <c r="G132" s="185">
        <v>18750</v>
      </c>
      <c r="H132" s="222">
        <f t="shared" si="12"/>
        <v>18750</v>
      </c>
      <c r="I132" s="222">
        <f t="shared" si="9"/>
        <v>0</v>
      </c>
      <c r="J132" s="98"/>
      <c r="K132" s="99"/>
      <c r="L132" s="157">
        <f t="shared" si="16"/>
        <v>18750</v>
      </c>
      <c r="M132" s="227">
        <v>0</v>
      </c>
      <c r="N132" s="163">
        <f t="shared" si="14"/>
        <v>0</v>
      </c>
      <c r="O132" s="98" t="s">
        <v>189</v>
      </c>
      <c r="P132" s="232">
        <f t="shared" si="15"/>
        <v>0</v>
      </c>
    </row>
    <row r="133" spans="1:16" x14ac:dyDescent="0.25">
      <c r="A133" s="83"/>
      <c r="B133" s="88" t="s">
        <v>93</v>
      </c>
      <c r="C133" s="30"/>
      <c r="D133" s="30"/>
      <c r="E133" s="30"/>
      <c r="F133" s="185"/>
      <c r="G133" s="185"/>
      <c r="H133" s="222">
        <f t="shared" si="12"/>
        <v>0</v>
      </c>
      <c r="I133" s="222">
        <f t="shared" si="9"/>
        <v>0</v>
      </c>
      <c r="J133" s="98"/>
      <c r="K133" s="99"/>
      <c r="L133" s="157">
        <f t="shared" si="16"/>
        <v>0</v>
      </c>
      <c r="M133" s="213"/>
      <c r="N133" s="163">
        <f t="shared" si="14"/>
        <v>0</v>
      </c>
      <c r="O133" s="98"/>
      <c r="P133" s="232"/>
    </row>
    <row r="134" spans="1:16" ht="75" x14ac:dyDescent="0.25">
      <c r="A134" s="30">
        <v>10.9</v>
      </c>
      <c r="B134" s="192" t="s">
        <v>129</v>
      </c>
      <c r="C134" s="193" t="s">
        <v>27</v>
      </c>
      <c r="D134" s="210">
        <v>1</v>
      </c>
      <c r="E134" s="193">
        <v>150</v>
      </c>
      <c r="F134" s="185">
        <f t="shared" si="13"/>
        <v>150</v>
      </c>
      <c r="G134" s="194">
        <v>150</v>
      </c>
      <c r="H134" s="222">
        <f t="shared" si="12"/>
        <v>150</v>
      </c>
      <c r="I134" s="222">
        <f t="shared" si="9"/>
        <v>0</v>
      </c>
      <c r="J134" s="98"/>
      <c r="K134" s="99"/>
      <c r="L134" s="157">
        <f t="shared" si="16"/>
        <v>150</v>
      </c>
      <c r="M134" s="227">
        <v>0</v>
      </c>
      <c r="N134" s="163">
        <f t="shared" si="14"/>
        <v>0</v>
      </c>
      <c r="O134" s="98" t="s">
        <v>190</v>
      </c>
      <c r="P134" s="232">
        <f>+M134/D134</f>
        <v>0</v>
      </c>
    </row>
    <row r="135" spans="1:16" ht="60" x14ac:dyDescent="0.25">
      <c r="A135" s="80">
        <v>10.1</v>
      </c>
      <c r="B135" s="46" t="s">
        <v>67</v>
      </c>
      <c r="C135" s="30" t="s">
        <v>27</v>
      </c>
      <c r="D135" s="122">
        <v>2</v>
      </c>
      <c r="E135" s="30">
        <v>150</v>
      </c>
      <c r="F135" s="185">
        <f t="shared" si="13"/>
        <v>150</v>
      </c>
      <c r="G135" s="185">
        <v>300</v>
      </c>
      <c r="H135" s="222">
        <f t="shared" si="12"/>
        <v>300</v>
      </c>
      <c r="I135" s="222">
        <f t="shared" si="9"/>
        <v>0</v>
      </c>
      <c r="J135" s="98"/>
      <c r="K135" s="99"/>
      <c r="L135" s="157">
        <f>G135</f>
        <v>300</v>
      </c>
      <c r="M135" s="227">
        <v>0</v>
      </c>
      <c r="N135" s="163">
        <f t="shared" si="14"/>
        <v>0</v>
      </c>
      <c r="O135" s="98" t="s">
        <v>191</v>
      </c>
      <c r="P135" s="232">
        <f>+M135/D135</f>
        <v>0</v>
      </c>
    </row>
    <row r="136" spans="1:16" ht="30" x14ac:dyDescent="0.25">
      <c r="A136" s="30">
        <v>10.11</v>
      </c>
      <c r="B136" s="184" t="s">
        <v>130</v>
      </c>
      <c r="C136" s="30" t="s">
        <v>27</v>
      </c>
      <c r="D136" s="122">
        <v>1</v>
      </c>
      <c r="E136" s="30">
        <v>2500</v>
      </c>
      <c r="F136" s="185">
        <f t="shared" si="13"/>
        <v>2500</v>
      </c>
      <c r="G136" s="185">
        <v>2500</v>
      </c>
      <c r="H136" s="222">
        <f t="shared" si="12"/>
        <v>2500</v>
      </c>
      <c r="I136" s="222">
        <f t="shared" si="9"/>
        <v>0</v>
      </c>
      <c r="J136" s="98"/>
      <c r="K136" s="99"/>
      <c r="L136" s="157">
        <f t="shared" si="16"/>
        <v>2500</v>
      </c>
      <c r="M136" s="227">
        <v>0</v>
      </c>
      <c r="N136" s="163">
        <f t="shared" si="14"/>
        <v>0</v>
      </c>
      <c r="O136" s="98" t="s">
        <v>192</v>
      </c>
      <c r="P136" s="232">
        <f>+M136/D136</f>
        <v>0</v>
      </c>
    </row>
    <row r="137" spans="1:16" x14ac:dyDescent="0.25">
      <c r="A137" s="30"/>
      <c r="B137" s="187"/>
      <c r="C137" s="30"/>
      <c r="D137" s="30"/>
      <c r="E137" s="30"/>
      <c r="F137" s="185"/>
      <c r="G137" s="116">
        <v>27600</v>
      </c>
      <c r="H137" s="222">
        <f t="shared" si="12"/>
        <v>0</v>
      </c>
      <c r="I137" s="222"/>
      <c r="J137" s="98"/>
      <c r="K137" s="99"/>
      <c r="L137" s="156"/>
      <c r="M137" s="213"/>
      <c r="N137" s="163">
        <f t="shared" si="14"/>
        <v>0</v>
      </c>
      <c r="O137" s="98"/>
      <c r="P137" s="232"/>
    </row>
    <row r="138" spans="1:16" x14ac:dyDescent="0.25">
      <c r="A138" s="83">
        <v>11</v>
      </c>
      <c r="B138" s="86" t="s">
        <v>50</v>
      </c>
      <c r="C138" s="30"/>
      <c r="D138" s="30"/>
      <c r="E138" s="30"/>
      <c r="F138" s="185"/>
      <c r="G138" s="185"/>
      <c r="H138" s="222">
        <f t="shared" si="12"/>
        <v>0</v>
      </c>
      <c r="I138" s="222">
        <f t="shared" si="9"/>
        <v>0</v>
      </c>
      <c r="J138" s="98"/>
      <c r="K138" s="99"/>
      <c r="L138" s="156"/>
      <c r="M138" s="213"/>
      <c r="N138" s="163">
        <f t="shared" si="14"/>
        <v>0</v>
      </c>
      <c r="O138" s="98"/>
      <c r="P138" s="232"/>
    </row>
    <row r="139" spans="1:16" ht="45" x14ac:dyDescent="0.25">
      <c r="A139" s="30">
        <v>11.1</v>
      </c>
      <c r="B139" s="46" t="s">
        <v>33</v>
      </c>
      <c r="C139" s="30" t="s">
        <v>7</v>
      </c>
      <c r="D139" s="30">
        <v>1</v>
      </c>
      <c r="E139" s="30">
        <v>500</v>
      </c>
      <c r="F139" s="185">
        <f t="shared" si="13"/>
        <v>500</v>
      </c>
      <c r="G139" s="185">
        <v>500</v>
      </c>
      <c r="H139" s="222">
        <f t="shared" si="12"/>
        <v>500</v>
      </c>
      <c r="I139" s="222">
        <f t="shared" si="9"/>
        <v>0</v>
      </c>
      <c r="J139" s="98"/>
      <c r="K139" s="99"/>
      <c r="L139" s="157">
        <f>G139</f>
        <v>500</v>
      </c>
      <c r="M139" s="227"/>
      <c r="N139" s="163">
        <f t="shared" si="14"/>
        <v>0</v>
      </c>
      <c r="O139" s="98" t="s">
        <v>193</v>
      </c>
      <c r="P139" s="232">
        <f>+M139/D139</f>
        <v>0</v>
      </c>
    </row>
    <row r="140" spans="1:16" ht="45" x14ac:dyDescent="0.25">
      <c r="A140" s="30">
        <v>11.2</v>
      </c>
      <c r="B140" s="46" t="s">
        <v>34</v>
      </c>
      <c r="C140" s="30" t="s">
        <v>7</v>
      </c>
      <c r="D140" s="207">
        <v>1</v>
      </c>
      <c r="E140" s="30">
        <v>1000</v>
      </c>
      <c r="F140" s="185">
        <f t="shared" si="13"/>
        <v>1000</v>
      </c>
      <c r="G140" s="185">
        <v>1000</v>
      </c>
      <c r="H140" s="222">
        <f t="shared" si="12"/>
        <v>1000</v>
      </c>
      <c r="I140" s="222">
        <f t="shared" si="9"/>
        <v>0</v>
      </c>
      <c r="J140" s="98"/>
      <c r="K140" s="99"/>
      <c r="L140" s="157">
        <f>G140</f>
        <v>1000</v>
      </c>
      <c r="M140" s="216"/>
      <c r="N140" s="163">
        <f t="shared" si="14"/>
        <v>0</v>
      </c>
      <c r="O140" s="98" t="s">
        <v>194</v>
      </c>
      <c r="P140" s="232">
        <f>+M140/D140</f>
        <v>0</v>
      </c>
    </row>
    <row r="141" spans="1:16" x14ac:dyDescent="0.25">
      <c r="A141" s="30">
        <v>11.3</v>
      </c>
      <c r="B141" s="46" t="s">
        <v>35</v>
      </c>
      <c r="C141" s="30" t="s">
        <v>27</v>
      </c>
      <c r="D141" s="217">
        <v>2</v>
      </c>
      <c r="E141" s="30">
        <v>500</v>
      </c>
      <c r="F141" s="185">
        <f t="shared" si="13"/>
        <v>500</v>
      </c>
      <c r="G141" s="185">
        <v>1000</v>
      </c>
      <c r="H141" s="222">
        <f t="shared" si="12"/>
        <v>1000</v>
      </c>
      <c r="I141" s="222">
        <f t="shared" si="9"/>
        <v>0</v>
      </c>
      <c r="J141" s="98" t="s">
        <v>158</v>
      </c>
      <c r="K141" s="99"/>
      <c r="L141" s="157">
        <f>G141/2</f>
        <v>500</v>
      </c>
      <c r="M141" s="227">
        <v>0</v>
      </c>
      <c r="N141" s="163">
        <f t="shared" si="14"/>
        <v>0</v>
      </c>
      <c r="O141" s="98" t="s">
        <v>158</v>
      </c>
      <c r="P141" s="232">
        <f>+M141/D141</f>
        <v>0</v>
      </c>
    </row>
    <row r="142" spans="1:16" x14ac:dyDescent="0.25">
      <c r="A142" s="30">
        <v>11.4</v>
      </c>
      <c r="B142" s="46" t="s">
        <v>63</v>
      </c>
      <c r="C142" s="30" t="s">
        <v>20</v>
      </c>
      <c r="D142" s="204">
        <v>25</v>
      </c>
      <c r="E142" s="30">
        <v>85</v>
      </c>
      <c r="F142" s="185">
        <f t="shared" si="13"/>
        <v>85</v>
      </c>
      <c r="G142" s="185">
        <v>2125</v>
      </c>
      <c r="H142" s="222">
        <f t="shared" si="12"/>
        <v>2125</v>
      </c>
      <c r="I142" s="222">
        <f t="shared" si="9"/>
        <v>0</v>
      </c>
      <c r="J142" s="98"/>
      <c r="K142" s="99"/>
      <c r="L142" s="157">
        <f>G142</f>
        <v>2125</v>
      </c>
      <c r="M142" s="227"/>
      <c r="N142" s="163">
        <f t="shared" si="14"/>
        <v>0</v>
      </c>
      <c r="O142" s="98" t="s">
        <v>195</v>
      </c>
      <c r="P142" s="232">
        <f>+M142/D142</f>
        <v>0</v>
      </c>
    </row>
    <row r="143" spans="1:16" x14ac:dyDescent="0.25">
      <c r="A143" s="30"/>
      <c r="B143" s="187"/>
      <c r="C143" s="30"/>
      <c r="D143" s="204"/>
      <c r="E143" s="30"/>
      <c r="F143" s="185"/>
      <c r="G143" s="116">
        <v>4625</v>
      </c>
      <c r="H143" s="222">
        <f t="shared" si="12"/>
        <v>0</v>
      </c>
      <c r="I143" s="222"/>
      <c r="J143" s="98"/>
      <c r="K143" s="99"/>
      <c r="L143" s="156"/>
      <c r="M143" s="213"/>
      <c r="N143" s="163">
        <f t="shared" si="14"/>
        <v>0</v>
      </c>
      <c r="O143" s="98"/>
      <c r="P143" s="232"/>
    </row>
    <row r="144" spans="1:16" x14ac:dyDescent="0.25">
      <c r="A144" s="83">
        <v>12</v>
      </c>
      <c r="B144" s="86" t="s">
        <v>47</v>
      </c>
      <c r="C144" s="30"/>
      <c r="D144" s="30"/>
      <c r="E144" s="30"/>
      <c r="F144" s="185"/>
      <c r="G144" s="185"/>
      <c r="H144" s="222">
        <f t="shared" si="12"/>
        <v>0</v>
      </c>
      <c r="I144" s="222">
        <f t="shared" si="9"/>
        <v>0</v>
      </c>
      <c r="J144" s="98"/>
      <c r="K144" s="99"/>
      <c r="L144" s="156"/>
      <c r="M144" s="213"/>
      <c r="N144" s="163">
        <f t="shared" si="14"/>
        <v>0</v>
      </c>
      <c r="O144" s="98"/>
      <c r="P144" s="232"/>
    </row>
    <row r="145" spans="1:16" x14ac:dyDescent="0.25">
      <c r="A145" s="83"/>
      <c r="B145" s="88" t="s">
        <v>71</v>
      </c>
      <c r="C145" s="30"/>
      <c r="D145" s="30"/>
      <c r="E145" s="30"/>
      <c r="F145" s="185"/>
      <c r="G145" s="185"/>
      <c r="H145" s="222">
        <f t="shared" si="12"/>
        <v>0</v>
      </c>
      <c r="I145" s="222">
        <f t="shared" si="9"/>
        <v>0</v>
      </c>
      <c r="J145" s="98"/>
      <c r="K145" s="99"/>
      <c r="L145" s="156"/>
      <c r="M145" s="213"/>
      <c r="N145" s="163">
        <f t="shared" si="14"/>
        <v>0</v>
      </c>
      <c r="O145" s="98"/>
      <c r="P145" s="232"/>
    </row>
    <row r="146" spans="1:16" ht="90" x14ac:dyDescent="0.25">
      <c r="A146" s="30">
        <v>12.1</v>
      </c>
      <c r="B146" s="46" t="s">
        <v>82</v>
      </c>
      <c r="C146" s="30" t="s">
        <v>27</v>
      </c>
      <c r="D146" s="220">
        <v>1</v>
      </c>
      <c r="E146" s="30">
        <v>5000</v>
      </c>
      <c r="F146" s="185">
        <f t="shared" si="13"/>
        <v>5000</v>
      </c>
      <c r="G146" s="185">
        <v>5000</v>
      </c>
      <c r="H146" s="222">
        <f t="shared" si="12"/>
        <v>5000</v>
      </c>
      <c r="I146" s="222">
        <f t="shared" si="9"/>
        <v>0</v>
      </c>
      <c r="J146" s="98" t="s">
        <v>163</v>
      </c>
      <c r="K146" s="99"/>
      <c r="L146" s="156"/>
      <c r="M146" s="216">
        <v>0.9</v>
      </c>
      <c r="N146" s="163">
        <f t="shared" si="14"/>
        <v>4500</v>
      </c>
      <c r="O146" s="98" t="s">
        <v>196</v>
      </c>
      <c r="P146" s="232">
        <f>+M146/D146</f>
        <v>0.9</v>
      </c>
    </row>
    <row r="147" spans="1:16" ht="90" x14ac:dyDescent="0.25">
      <c r="A147" s="30">
        <v>12.2</v>
      </c>
      <c r="B147" s="46" t="s">
        <v>83</v>
      </c>
      <c r="C147" s="30" t="s">
        <v>27</v>
      </c>
      <c r="D147" s="122">
        <v>2</v>
      </c>
      <c r="E147" s="30">
        <v>2500</v>
      </c>
      <c r="F147" s="185">
        <f t="shared" si="13"/>
        <v>2500</v>
      </c>
      <c r="G147" s="185">
        <v>5000</v>
      </c>
      <c r="H147" s="222">
        <f t="shared" si="12"/>
        <v>5000</v>
      </c>
      <c r="I147" s="222">
        <f t="shared" si="9"/>
        <v>0</v>
      </c>
      <c r="J147" s="98"/>
      <c r="K147" s="99"/>
      <c r="L147" s="157">
        <f>G147</f>
        <v>5000</v>
      </c>
      <c r="M147" s="227">
        <v>0</v>
      </c>
      <c r="N147" s="163">
        <f t="shared" ref="N147:N167" si="17">+M147*F147</f>
        <v>0</v>
      </c>
      <c r="O147" s="98" t="s">
        <v>167</v>
      </c>
      <c r="P147" s="232">
        <f>+M147/D147</f>
        <v>0</v>
      </c>
    </row>
    <row r="148" spans="1:16" ht="75" x14ac:dyDescent="0.25">
      <c r="A148" s="30">
        <v>12.3</v>
      </c>
      <c r="B148" s="46" t="s">
        <v>68</v>
      </c>
      <c r="C148" s="30" t="s">
        <v>27</v>
      </c>
      <c r="D148" s="30">
        <v>2</v>
      </c>
      <c r="E148" s="30">
        <v>5000</v>
      </c>
      <c r="F148" s="185">
        <f t="shared" si="13"/>
        <v>2500</v>
      </c>
      <c r="G148" s="185">
        <v>5000</v>
      </c>
      <c r="H148" s="222">
        <f t="shared" si="12"/>
        <v>10000</v>
      </c>
      <c r="I148" s="222">
        <f t="shared" ref="I148:I167" si="18">+H148-G148</f>
        <v>5000</v>
      </c>
      <c r="J148" s="98"/>
      <c r="K148" s="99"/>
      <c r="L148" s="157">
        <f>G148</f>
        <v>5000</v>
      </c>
      <c r="M148" s="227"/>
      <c r="N148" s="163">
        <f t="shared" si="17"/>
        <v>0</v>
      </c>
      <c r="O148" s="98" t="s">
        <v>167</v>
      </c>
      <c r="P148" s="232">
        <f>+M148/D148</f>
        <v>0</v>
      </c>
    </row>
    <row r="149" spans="1:16" x14ac:dyDescent="0.25">
      <c r="A149" s="30"/>
      <c r="B149" s="88" t="s">
        <v>136</v>
      </c>
      <c r="C149" s="30"/>
      <c r="D149" s="30"/>
      <c r="E149" s="30"/>
      <c r="F149" s="185"/>
      <c r="G149" s="185"/>
      <c r="H149" s="222">
        <f t="shared" si="12"/>
        <v>0</v>
      </c>
      <c r="I149" s="222">
        <f t="shared" si="18"/>
        <v>0</v>
      </c>
      <c r="J149" s="98"/>
      <c r="K149" s="99"/>
      <c r="L149" s="157">
        <f>G149</f>
        <v>0</v>
      </c>
      <c r="M149" s="227"/>
      <c r="N149" s="163">
        <f t="shared" si="17"/>
        <v>0</v>
      </c>
      <c r="O149" s="98"/>
      <c r="P149" s="232"/>
    </row>
    <row r="150" spans="1:16" ht="75" x14ac:dyDescent="0.25">
      <c r="A150" s="30">
        <v>12.4</v>
      </c>
      <c r="B150" s="46" t="s">
        <v>137</v>
      </c>
      <c r="C150" s="30" t="s">
        <v>27</v>
      </c>
      <c r="D150" s="122">
        <v>1</v>
      </c>
      <c r="E150" s="30">
        <v>1500</v>
      </c>
      <c r="F150" s="185">
        <f t="shared" si="13"/>
        <v>1500</v>
      </c>
      <c r="G150" s="185">
        <v>1500</v>
      </c>
      <c r="H150" s="222">
        <f t="shared" si="12"/>
        <v>1500</v>
      </c>
      <c r="I150" s="222">
        <f t="shared" si="18"/>
        <v>0</v>
      </c>
      <c r="J150" s="98"/>
      <c r="K150" s="99"/>
      <c r="L150" s="157">
        <f>G150</f>
        <v>1500</v>
      </c>
      <c r="M150" s="227">
        <v>0</v>
      </c>
      <c r="N150" s="163">
        <f t="shared" si="17"/>
        <v>0</v>
      </c>
      <c r="O150" s="98" t="s">
        <v>167</v>
      </c>
      <c r="P150" s="232">
        <f>+M150/D150</f>
        <v>0</v>
      </c>
    </row>
    <row r="151" spans="1:16" x14ac:dyDescent="0.25">
      <c r="A151" s="30"/>
      <c r="B151" s="187"/>
      <c r="C151" s="30"/>
      <c r="D151" s="30"/>
      <c r="E151" s="30"/>
      <c r="F151" s="185"/>
      <c r="G151" s="116">
        <v>16500</v>
      </c>
      <c r="H151" s="222">
        <f t="shared" si="12"/>
        <v>0</v>
      </c>
      <c r="I151" s="222"/>
      <c r="J151" s="98"/>
      <c r="K151" s="99"/>
      <c r="L151" s="156"/>
      <c r="M151" s="227"/>
      <c r="N151" s="163">
        <f t="shared" si="17"/>
        <v>0</v>
      </c>
      <c r="O151" s="98"/>
      <c r="P151" s="232"/>
    </row>
    <row r="152" spans="1:16" x14ac:dyDescent="0.25">
      <c r="A152" s="83">
        <v>13</v>
      </c>
      <c r="B152" s="86" t="s">
        <v>97</v>
      </c>
      <c r="C152" s="30"/>
      <c r="D152" s="30"/>
      <c r="E152" s="30"/>
      <c r="F152" s="185"/>
      <c r="G152" s="185"/>
      <c r="H152" s="222">
        <f t="shared" si="12"/>
        <v>0</v>
      </c>
      <c r="I152" s="222">
        <f t="shared" si="18"/>
        <v>0</v>
      </c>
      <c r="J152" s="98"/>
      <c r="K152" s="99"/>
      <c r="L152" s="156"/>
      <c r="M152" s="227"/>
      <c r="N152" s="163">
        <f t="shared" si="17"/>
        <v>0</v>
      </c>
      <c r="O152" s="98"/>
      <c r="P152" s="232"/>
    </row>
    <row r="153" spans="1:16" x14ac:dyDescent="0.25">
      <c r="A153" s="208"/>
      <c r="B153" s="88" t="s">
        <v>89</v>
      </c>
      <c r="C153" s="201"/>
      <c r="D153" s="30"/>
      <c r="E153" s="201"/>
      <c r="F153" s="185"/>
      <c r="G153" s="202"/>
      <c r="H153" s="222">
        <f t="shared" si="12"/>
        <v>0</v>
      </c>
      <c r="I153" s="222">
        <f t="shared" si="18"/>
        <v>0</v>
      </c>
      <c r="J153" s="98"/>
      <c r="K153" s="99"/>
      <c r="L153" s="156"/>
      <c r="M153" s="227"/>
      <c r="N153" s="163">
        <f t="shared" si="17"/>
        <v>0</v>
      </c>
      <c r="O153" s="98"/>
      <c r="P153" s="232"/>
    </row>
    <row r="154" spans="1:16" ht="45" x14ac:dyDescent="0.25">
      <c r="A154" s="30">
        <v>13.1</v>
      </c>
      <c r="B154" s="46" t="s">
        <v>73</v>
      </c>
      <c r="C154" s="30" t="s">
        <v>7</v>
      </c>
      <c r="D154" s="122">
        <v>1</v>
      </c>
      <c r="E154" s="30">
        <v>500</v>
      </c>
      <c r="F154" s="185">
        <f t="shared" si="13"/>
        <v>500</v>
      </c>
      <c r="G154" s="185">
        <v>500</v>
      </c>
      <c r="H154" s="222">
        <f t="shared" si="12"/>
        <v>500</v>
      </c>
      <c r="I154" s="222">
        <f t="shared" si="18"/>
        <v>0</v>
      </c>
      <c r="J154" s="98"/>
      <c r="K154" s="99"/>
      <c r="L154" s="157">
        <f>G154</f>
        <v>500</v>
      </c>
      <c r="M154" s="227">
        <v>0</v>
      </c>
      <c r="N154" s="163">
        <f t="shared" si="17"/>
        <v>0</v>
      </c>
      <c r="O154" s="98" t="s">
        <v>167</v>
      </c>
      <c r="P154" s="232">
        <f>+M154/D154</f>
        <v>0</v>
      </c>
    </row>
    <row r="155" spans="1:16" customFormat="1" ht="30" x14ac:dyDescent="0.25">
      <c r="A155" s="201">
        <v>13.2</v>
      </c>
      <c r="B155" s="46" t="s">
        <v>85</v>
      </c>
      <c r="C155" s="30" t="s">
        <v>12</v>
      </c>
      <c r="D155" s="188">
        <f>(1.2*4)+2*((0.15*4)+(0.15*2))</f>
        <v>6.6</v>
      </c>
      <c r="E155" s="183">
        <v>250</v>
      </c>
      <c r="F155" s="185">
        <f t="shared" si="13"/>
        <v>500</v>
      </c>
      <c r="G155" s="185">
        <v>3300</v>
      </c>
      <c r="H155" s="222">
        <f t="shared" si="12"/>
        <v>1650</v>
      </c>
      <c r="I155" s="222">
        <f t="shared" si="18"/>
        <v>-1650</v>
      </c>
      <c r="J155" s="97"/>
      <c r="K155" s="104"/>
      <c r="L155" s="160">
        <f>G155</f>
        <v>3300</v>
      </c>
      <c r="M155" s="231"/>
      <c r="N155" s="163">
        <f t="shared" si="17"/>
        <v>0</v>
      </c>
      <c r="O155" s="98" t="s">
        <v>167</v>
      </c>
      <c r="P155" s="232">
        <f>+M155/D155</f>
        <v>0</v>
      </c>
    </row>
    <row r="156" spans="1:16" x14ac:dyDescent="0.25">
      <c r="A156" s="208"/>
      <c r="B156" s="88" t="s">
        <v>90</v>
      </c>
      <c r="C156" s="201"/>
      <c r="D156" s="30"/>
      <c r="E156" s="201"/>
      <c r="F156" s="185"/>
      <c r="G156" s="202"/>
      <c r="H156" s="222">
        <f t="shared" si="12"/>
        <v>0</v>
      </c>
      <c r="I156" s="222">
        <f t="shared" si="18"/>
        <v>0</v>
      </c>
      <c r="J156" s="98"/>
      <c r="K156" s="99"/>
      <c r="L156" s="156"/>
      <c r="M156" s="227"/>
      <c r="N156" s="163">
        <f t="shared" si="17"/>
        <v>0</v>
      </c>
      <c r="O156" s="98"/>
      <c r="P156" s="232"/>
    </row>
    <row r="157" spans="1:16" ht="30" x14ac:dyDescent="0.25">
      <c r="A157" s="30">
        <v>13.3</v>
      </c>
      <c r="B157" s="46" t="s">
        <v>32</v>
      </c>
      <c r="C157" s="30" t="s">
        <v>12</v>
      </c>
      <c r="D157" s="149">
        <f>C10*2.1</f>
        <v>166.95000000000002</v>
      </c>
      <c r="E157" s="30">
        <v>55</v>
      </c>
      <c r="F157" s="185">
        <f t="shared" si="13"/>
        <v>109.99999999999999</v>
      </c>
      <c r="G157" s="185">
        <v>18364.5</v>
      </c>
      <c r="H157" s="222">
        <f t="shared" ref="H157:H167" si="19">+D157*E157</f>
        <v>9182.2500000000018</v>
      </c>
      <c r="I157" s="222">
        <f t="shared" si="18"/>
        <v>-9182.2499999999982</v>
      </c>
      <c r="J157" s="98"/>
      <c r="K157" s="99"/>
      <c r="L157" s="157">
        <f>G157</f>
        <v>18364.5</v>
      </c>
      <c r="M157" s="227">
        <v>0</v>
      </c>
      <c r="N157" s="163">
        <f t="shared" si="17"/>
        <v>0</v>
      </c>
      <c r="O157" s="98" t="s">
        <v>167</v>
      </c>
      <c r="P157" s="232">
        <f>+M157/D157</f>
        <v>0</v>
      </c>
    </row>
    <row r="158" spans="1:16" x14ac:dyDescent="0.25">
      <c r="A158" s="208"/>
      <c r="B158" s="88" t="s">
        <v>88</v>
      </c>
      <c r="C158" s="201"/>
      <c r="D158" s="30"/>
      <c r="E158" s="201"/>
      <c r="F158" s="185"/>
      <c r="G158" s="202"/>
      <c r="H158" s="222">
        <f t="shared" si="19"/>
        <v>0</v>
      </c>
      <c r="I158" s="222">
        <f t="shared" si="18"/>
        <v>0</v>
      </c>
      <c r="J158" s="98"/>
      <c r="K158" s="99"/>
      <c r="L158" s="156"/>
      <c r="M158" s="213"/>
      <c r="N158" s="163">
        <f t="shared" si="17"/>
        <v>0</v>
      </c>
      <c r="O158" s="98"/>
      <c r="P158" s="232"/>
    </row>
    <row r="159" spans="1:16" ht="30" x14ac:dyDescent="0.25">
      <c r="A159" s="201">
        <v>13.4</v>
      </c>
      <c r="B159" s="209" t="s">
        <v>126</v>
      </c>
      <c r="C159" s="201" t="s">
        <v>12</v>
      </c>
      <c r="D159" s="84">
        <f>(C4*C5)+(C12*C13)+(C14*C15)</f>
        <v>219.76</v>
      </c>
      <c r="E159" s="201">
        <v>25</v>
      </c>
      <c r="F159" s="185">
        <f t="shared" ref="F159:F167" si="20">+G159/D159</f>
        <v>49.963596650891887</v>
      </c>
      <c r="G159" s="202">
        <v>10980</v>
      </c>
      <c r="H159" s="222">
        <f t="shared" si="19"/>
        <v>5494</v>
      </c>
      <c r="I159" s="222">
        <f t="shared" si="18"/>
        <v>-5486</v>
      </c>
      <c r="J159" s="98"/>
      <c r="K159" s="99"/>
      <c r="L159" s="156"/>
      <c r="M159" s="227">
        <f>+D159</f>
        <v>219.76</v>
      </c>
      <c r="N159" s="163">
        <f t="shared" si="17"/>
        <v>10980</v>
      </c>
      <c r="O159" s="98"/>
      <c r="P159" s="232">
        <f>+M159/D159</f>
        <v>1</v>
      </c>
    </row>
    <row r="160" spans="1:16" ht="45" x14ac:dyDescent="0.25">
      <c r="A160" s="201">
        <v>13.5</v>
      </c>
      <c r="B160" s="46" t="s">
        <v>74</v>
      </c>
      <c r="C160" s="30" t="s">
        <v>20</v>
      </c>
      <c r="D160" s="188">
        <f>8*3</f>
        <v>24</v>
      </c>
      <c r="E160" s="183">
        <v>250</v>
      </c>
      <c r="F160" s="185">
        <f t="shared" si="20"/>
        <v>250</v>
      </c>
      <c r="G160" s="185">
        <v>6000</v>
      </c>
      <c r="H160" s="222">
        <f t="shared" si="19"/>
        <v>6000</v>
      </c>
      <c r="I160" s="222">
        <f t="shared" si="18"/>
        <v>0</v>
      </c>
      <c r="J160" s="97"/>
      <c r="K160" s="99"/>
      <c r="L160" s="156"/>
      <c r="M160" s="216">
        <f>+D160</f>
        <v>24</v>
      </c>
      <c r="N160" s="163">
        <f t="shared" si="17"/>
        <v>6000</v>
      </c>
      <c r="O160" s="97"/>
      <c r="P160" s="232">
        <f>+M160/D160</f>
        <v>1</v>
      </c>
    </row>
    <row r="161" spans="1:16" ht="45" x14ac:dyDescent="0.25">
      <c r="A161" s="201">
        <v>13.6</v>
      </c>
      <c r="B161" s="46" t="s">
        <v>127</v>
      </c>
      <c r="C161" s="30" t="s">
        <v>7</v>
      </c>
      <c r="D161" s="122">
        <v>2</v>
      </c>
      <c r="E161" s="30">
        <v>500</v>
      </c>
      <c r="F161" s="185">
        <f t="shared" si="20"/>
        <v>500</v>
      </c>
      <c r="G161" s="185">
        <v>1000</v>
      </c>
      <c r="H161" s="222">
        <f t="shared" si="19"/>
        <v>1000</v>
      </c>
      <c r="I161" s="222">
        <f t="shared" si="18"/>
        <v>0</v>
      </c>
      <c r="J161" s="98"/>
      <c r="K161" s="99"/>
      <c r="L161" s="157">
        <f>G161</f>
        <v>1000</v>
      </c>
      <c r="M161" s="227">
        <v>0</v>
      </c>
      <c r="N161" s="163">
        <f t="shared" si="17"/>
        <v>0</v>
      </c>
      <c r="O161" s="98" t="s">
        <v>167</v>
      </c>
      <c r="P161" s="232">
        <f>+M161/D161</f>
        <v>0</v>
      </c>
    </row>
    <row r="162" spans="1:16" customFormat="1" ht="90" x14ac:dyDescent="0.25">
      <c r="A162" s="201">
        <v>13.7</v>
      </c>
      <c r="B162" s="46" t="s">
        <v>128</v>
      </c>
      <c r="C162" s="30" t="s">
        <v>7</v>
      </c>
      <c r="D162" s="30">
        <v>1</v>
      </c>
      <c r="E162" s="30">
        <v>890</v>
      </c>
      <c r="F162" s="185">
        <f t="shared" si="20"/>
        <v>890</v>
      </c>
      <c r="G162" s="185">
        <v>890</v>
      </c>
      <c r="H162" s="222">
        <f t="shared" si="19"/>
        <v>890</v>
      </c>
      <c r="I162" s="222">
        <f t="shared" si="18"/>
        <v>0</v>
      </c>
      <c r="J162" s="98" t="s">
        <v>159</v>
      </c>
      <c r="K162" s="104"/>
      <c r="L162" s="160">
        <f>G162/2</f>
        <v>445</v>
      </c>
      <c r="M162" s="231">
        <v>0</v>
      </c>
      <c r="N162" s="163">
        <f t="shared" si="17"/>
        <v>0</v>
      </c>
      <c r="O162" s="230" t="s">
        <v>197</v>
      </c>
      <c r="P162" s="232">
        <f>+M162/D162</f>
        <v>0</v>
      </c>
    </row>
    <row r="163" spans="1:16" customFormat="1" x14ac:dyDescent="0.25">
      <c r="A163" s="30"/>
      <c r="B163" s="187"/>
      <c r="C163" s="30"/>
      <c r="D163" s="30"/>
      <c r="E163" s="30"/>
      <c r="F163" s="185"/>
      <c r="G163" s="116">
        <v>41034.5</v>
      </c>
      <c r="H163" s="222">
        <f t="shared" si="19"/>
        <v>0</v>
      </c>
      <c r="I163" s="222"/>
      <c r="J163" s="98"/>
      <c r="K163" s="104"/>
      <c r="L163" s="159"/>
      <c r="M163" s="224"/>
      <c r="N163" s="163">
        <f t="shared" si="17"/>
        <v>0</v>
      </c>
      <c r="O163" s="98"/>
      <c r="P163" s="232"/>
    </row>
    <row r="164" spans="1:16" customFormat="1" x14ac:dyDescent="0.25">
      <c r="A164" s="83">
        <v>14</v>
      </c>
      <c r="B164" s="86" t="s">
        <v>149</v>
      </c>
      <c r="C164" s="30"/>
      <c r="D164" s="30"/>
      <c r="E164" s="30"/>
      <c r="F164" s="185"/>
      <c r="G164" s="185"/>
      <c r="H164" s="222">
        <f t="shared" si="19"/>
        <v>0</v>
      </c>
      <c r="I164" s="222">
        <f t="shared" si="18"/>
        <v>0</v>
      </c>
      <c r="J164" s="98"/>
      <c r="K164" s="104"/>
      <c r="L164" s="159"/>
      <c r="M164" s="224"/>
      <c r="N164" s="163">
        <f t="shared" si="17"/>
        <v>0</v>
      </c>
      <c r="O164" s="98"/>
      <c r="P164" s="232"/>
    </row>
    <row r="165" spans="1:16" s="40" customFormat="1" x14ac:dyDescent="0.25">
      <c r="A165" s="183">
        <v>14.1</v>
      </c>
      <c r="B165" s="184" t="s">
        <v>75</v>
      </c>
      <c r="C165" s="183" t="s">
        <v>7</v>
      </c>
      <c r="D165" s="146">
        <v>1</v>
      </c>
      <c r="E165" s="183">
        <v>500</v>
      </c>
      <c r="F165" s="185">
        <f t="shared" si="20"/>
        <v>500</v>
      </c>
      <c r="G165" s="185">
        <v>500</v>
      </c>
      <c r="H165" s="222">
        <f t="shared" si="19"/>
        <v>500</v>
      </c>
      <c r="I165" s="222">
        <f t="shared" si="18"/>
        <v>0</v>
      </c>
      <c r="J165" s="97"/>
      <c r="K165" s="96"/>
      <c r="L165" s="161">
        <f>G165</f>
        <v>500</v>
      </c>
      <c r="M165" s="227">
        <v>0</v>
      </c>
      <c r="N165" s="163">
        <f t="shared" si="17"/>
        <v>0</v>
      </c>
      <c r="O165" s="98" t="s">
        <v>167</v>
      </c>
      <c r="P165" s="232">
        <f>+M165/D165</f>
        <v>0</v>
      </c>
    </row>
    <row r="166" spans="1:16" s="40" customFormat="1" x14ac:dyDescent="0.25">
      <c r="A166" s="183">
        <v>14.2</v>
      </c>
      <c r="B166" s="184" t="s">
        <v>38</v>
      </c>
      <c r="C166" s="183" t="s">
        <v>7</v>
      </c>
      <c r="D166" s="146">
        <v>1</v>
      </c>
      <c r="E166" s="183">
        <v>2500</v>
      </c>
      <c r="F166" s="185">
        <f t="shared" si="20"/>
        <v>2500</v>
      </c>
      <c r="G166" s="185">
        <v>2500</v>
      </c>
      <c r="H166" s="222">
        <f t="shared" si="19"/>
        <v>2500</v>
      </c>
      <c r="I166" s="222">
        <f t="shared" si="18"/>
        <v>0</v>
      </c>
      <c r="J166" s="97"/>
      <c r="K166" s="96"/>
      <c r="L166" s="161">
        <f>G166</f>
        <v>2500</v>
      </c>
      <c r="M166" s="227">
        <v>0</v>
      </c>
      <c r="N166" s="163">
        <f t="shared" si="17"/>
        <v>0</v>
      </c>
      <c r="O166" s="98" t="s">
        <v>167</v>
      </c>
      <c r="P166" s="232">
        <f>+M166/D166</f>
        <v>0</v>
      </c>
    </row>
    <row r="167" spans="1:16" s="40" customFormat="1" x14ac:dyDescent="0.25">
      <c r="A167" s="183">
        <v>14.3</v>
      </c>
      <c r="B167" s="184" t="s">
        <v>39</v>
      </c>
      <c r="C167" s="183" t="s">
        <v>7</v>
      </c>
      <c r="D167" s="146">
        <v>1</v>
      </c>
      <c r="E167" s="183">
        <v>2500</v>
      </c>
      <c r="F167" s="185">
        <f t="shared" si="20"/>
        <v>2500</v>
      </c>
      <c r="G167" s="185">
        <v>2500</v>
      </c>
      <c r="H167" s="222">
        <f t="shared" si="19"/>
        <v>2500</v>
      </c>
      <c r="I167" s="222">
        <f t="shared" si="18"/>
        <v>0</v>
      </c>
      <c r="J167" s="97"/>
      <c r="K167" s="96"/>
      <c r="L167" s="161">
        <f>G167</f>
        <v>2500</v>
      </c>
      <c r="M167" s="227">
        <v>0</v>
      </c>
      <c r="N167" s="163">
        <f t="shared" si="17"/>
        <v>0</v>
      </c>
      <c r="O167" s="98" t="s">
        <v>167</v>
      </c>
      <c r="P167" s="232">
        <f>+M167/D167</f>
        <v>0</v>
      </c>
    </row>
    <row r="168" spans="1:16" s="40" customFormat="1" x14ac:dyDescent="0.25">
      <c r="A168" s="94"/>
      <c r="B168" s="117"/>
      <c r="C168" s="94"/>
      <c r="D168" s="94"/>
      <c r="E168" s="94"/>
      <c r="F168" s="94"/>
      <c r="G168" s="118">
        <v>5500</v>
      </c>
      <c r="H168" s="118">
        <f>SUM(H28:H167)</f>
        <v>248922.82041666665</v>
      </c>
      <c r="I168" s="222"/>
      <c r="J168" s="94"/>
      <c r="K168" s="153" t="s">
        <v>160</v>
      </c>
      <c r="L168" s="152">
        <f>SUM(L18:L167)</f>
        <v>160007.77499999999</v>
      </c>
      <c r="M168" s="213"/>
    </row>
    <row r="169" spans="1:16" ht="15.75" thickBot="1" x14ac:dyDescent="0.3">
      <c r="A169" s="37"/>
      <c r="B169" s="63"/>
      <c r="C169" s="54"/>
      <c r="D169" s="54"/>
      <c r="E169" s="119">
        <f>G168+G163+G151+G143+G137+G122+G110+G88+G79+G70+G60+G38+G29+G21</f>
        <v>378577.3</v>
      </c>
      <c r="F169" s="119"/>
      <c r="G169" s="64">
        <f>G167+G166+G165+G162+G161+G160+G159+G157+G155+G154+G150+G148+G147+G146+G142+G141+G140+G139+G136+G135+G134+G132+G130+G129+G128+G127+G126+G125+G121+G120+G119+G117+G116+G115+G114+G113+G109+G108+G106+G105+G104+G102+G101+G99+G97+G96+G95+G94+G92+G91+G87+G85+G83+G82+G78+G76+G74+G73+G69+G68+G66+G64+G63+G59+G58+G56+G55+G53+G52+G51+G50+G49+G47+G46+G45+G44+G43+G42+G41+G37+G36+G35+G34+G33+G32+G28+G26+G25+G23+G20+G19</f>
        <v>381277.3</v>
      </c>
      <c r="H169" s="95"/>
      <c r="I169" s="222"/>
      <c r="J169" s="95"/>
      <c r="N169" s="163">
        <f>SUM(N19:N167)</f>
        <v>189182.40371640938</v>
      </c>
      <c r="P169" s="234">
        <f>+N169/G169</f>
        <v>0.4961806111101012</v>
      </c>
    </row>
    <row r="170" spans="1:16" ht="15.75" thickTop="1" x14ac:dyDescent="0.25">
      <c r="A170" s="37"/>
      <c r="B170" s="63" t="s">
        <v>199</v>
      </c>
      <c r="C170" s="37"/>
      <c r="D170" s="37"/>
      <c r="E170" s="41"/>
      <c r="F170" s="41"/>
      <c r="G170" s="41"/>
      <c r="H170" s="114"/>
      <c r="I170" s="222"/>
      <c r="J170" s="41"/>
      <c r="M170" s="41"/>
      <c r="N170" s="114">
        <f>+N169*0.06</f>
        <v>11350.944222984563</v>
      </c>
    </row>
    <row r="171" spans="1:16" ht="15.75" thickBot="1" x14ac:dyDescent="0.3">
      <c r="A171" s="236"/>
      <c r="B171" s="237" t="s">
        <v>200</v>
      </c>
      <c r="C171" s="238"/>
      <c r="D171" s="238"/>
      <c r="E171" s="239"/>
      <c r="F171" s="239"/>
      <c r="G171" s="239"/>
      <c r="H171" s="114"/>
      <c r="I171" s="222"/>
      <c r="J171" s="41"/>
      <c r="M171" s="239"/>
      <c r="N171" s="240">
        <f>+N169+N170</f>
        <v>200533.34793939395</v>
      </c>
    </row>
    <row r="172" spans="1:16" ht="15.75" thickTop="1" x14ac:dyDescent="0.25">
      <c r="A172" s="37"/>
      <c r="B172" s="63"/>
      <c r="C172" s="37"/>
      <c r="D172" s="37"/>
      <c r="E172" s="41"/>
      <c r="F172" s="41"/>
      <c r="G172" s="41"/>
      <c r="H172" s="114"/>
      <c r="I172" s="222"/>
      <c r="J172" s="41"/>
    </row>
    <row r="173" spans="1:16" x14ac:dyDescent="0.25">
      <c r="A173" s="37"/>
      <c r="B173" s="241" t="s">
        <v>201</v>
      </c>
      <c r="C173" s="242"/>
      <c r="D173" s="242"/>
      <c r="E173" s="243"/>
      <c r="F173" s="243"/>
      <c r="G173" s="244">
        <v>469979.94</v>
      </c>
      <c r="H173" s="114"/>
      <c r="I173" s="222"/>
      <c r="J173" s="41"/>
    </row>
    <row r="174" spans="1:16" x14ac:dyDescent="0.25">
      <c r="A174" s="37"/>
      <c r="B174" s="245" t="s">
        <v>202</v>
      </c>
      <c r="C174" s="246"/>
      <c r="D174" s="246"/>
      <c r="E174" s="247"/>
      <c r="F174" s="247"/>
      <c r="G174" s="248">
        <f>+G173*0.15</f>
        <v>70496.990999999995</v>
      </c>
      <c r="H174" s="114"/>
      <c r="I174" s="114"/>
      <c r="J174" s="41"/>
    </row>
    <row r="175" spans="1:16" x14ac:dyDescent="0.25">
      <c r="A175" s="37"/>
      <c r="B175" s="249"/>
      <c r="C175" s="94"/>
      <c r="D175" s="94"/>
      <c r="E175" s="250"/>
      <c r="F175" s="250"/>
      <c r="G175" s="251"/>
      <c r="H175" s="114"/>
      <c r="I175" s="114"/>
      <c r="J175" s="41"/>
    </row>
    <row r="176" spans="1:16" x14ac:dyDescent="0.25">
      <c r="B176" s="1" t="s">
        <v>203</v>
      </c>
      <c r="G176" s="233">
        <f>N171</f>
        <v>200533.34793939395</v>
      </c>
    </row>
    <row r="177" spans="2:7" x14ac:dyDescent="0.25">
      <c r="B177" s="1" t="s">
        <v>204</v>
      </c>
      <c r="G177" s="233">
        <f>+G176*0.05</f>
        <v>10026.667396969699</v>
      </c>
    </row>
    <row r="178" spans="2:7" x14ac:dyDescent="0.25">
      <c r="B178" s="252" t="s">
        <v>205</v>
      </c>
      <c r="C178" s="253"/>
      <c r="D178" s="253"/>
      <c r="E178" s="40"/>
      <c r="F178" s="40"/>
      <c r="G178" s="254">
        <f>G176-G177</f>
        <v>190506.68054242426</v>
      </c>
    </row>
    <row r="179" spans="2:7" x14ac:dyDescent="0.25">
      <c r="B179" s="1" t="s">
        <v>206</v>
      </c>
      <c r="G179" s="233">
        <f>G174</f>
        <v>70496.990999999995</v>
      </c>
    </row>
    <row r="180" spans="2:7" x14ac:dyDescent="0.25">
      <c r="G180" s="233"/>
    </row>
    <row r="181" spans="2:7" x14ac:dyDescent="0.25">
      <c r="B181" s="1" t="s">
        <v>207</v>
      </c>
      <c r="G181" s="115">
        <v>224521.68199999997</v>
      </c>
    </row>
    <row r="182" spans="2:7" x14ac:dyDescent="0.25">
      <c r="B182" s="252" t="s">
        <v>208</v>
      </c>
      <c r="C182" s="253"/>
      <c r="D182" s="253"/>
      <c r="E182" s="40"/>
      <c r="F182" s="40"/>
      <c r="G182" s="254">
        <f>+G178-G179-G181</f>
        <v>-104511.9924575757</v>
      </c>
    </row>
    <row r="183" spans="2:7" x14ac:dyDescent="0.25">
      <c r="F183" s="233"/>
    </row>
    <row r="194" spans="1:10" x14ac:dyDescent="0.25">
      <c r="A194" s="37"/>
      <c r="B194" s="63"/>
      <c r="C194" s="37"/>
      <c r="D194" s="37"/>
      <c r="E194" s="120"/>
      <c r="F194" s="120"/>
      <c r="G194" s="114"/>
      <c r="H194" s="114"/>
      <c r="I194" s="222"/>
      <c r="J194" s="41"/>
    </row>
    <row r="195" spans="1:10" x14ac:dyDescent="0.25">
      <c r="A195" s="37"/>
      <c r="B195" s="63"/>
      <c r="C195" s="37"/>
      <c r="D195" s="37"/>
      <c r="E195" s="114"/>
      <c r="F195" s="114"/>
      <c r="G195" s="114"/>
      <c r="H195" s="114"/>
      <c r="I195" s="222"/>
      <c r="J195" s="41"/>
    </row>
    <row r="196" spans="1:10" x14ac:dyDescent="0.25">
      <c r="A196" s="37"/>
      <c r="B196" s="63"/>
      <c r="C196" s="37"/>
      <c r="D196" s="37"/>
      <c r="E196" s="114"/>
      <c r="F196" s="114"/>
      <c r="G196" s="114"/>
      <c r="H196" s="114"/>
      <c r="I196" s="222"/>
      <c r="J196" s="41"/>
    </row>
    <row r="197" spans="1:10" x14ac:dyDescent="0.25">
      <c r="A197" s="37"/>
      <c r="B197" s="63"/>
      <c r="C197" s="37"/>
      <c r="D197" s="37"/>
      <c r="E197" s="114"/>
      <c r="F197" s="114"/>
      <c r="G197" s="114"/>
      <c r="H197" s="114"/>
      <c r="I197" s="222"/>
      <c r="J197" s="41"/>
    </row>
    <row r="198" spans="1:10" x14ac:dyDescent="0.25">
      <c r="A198" s="37"/>
      <c r="B198" s="63"/>
      <c r="C198" s="37"/>
      <c r="D198" s="37"/>
      <c r="E198" s="41"/>
      <c r="F198" s="41"/>
      <c r="G198" s="114"/>
      <c r="H198" s="114"/>
      <c r="I198" s="114"/>
      <c r="J198" s="41"/>
    </row>
    <row r="199" spans="1:10" x14ac:dyDescent="0.25">
      <c r="A199" s="37"/>
      <c r="B199" s="63"/>
      <c r="C199" s="37"/>
      <c r="D199" s="37"/>
      <c r="E199" s="41"/>
      <c r="F199" s="41"/>
      <c r="G199" s="114"/>
      <c r="H199" s="114"/>
      <c r="I199" s="114"/>
      <c r="J199" s="41"/>
    </row>
    <row r="200" spans="1:10" x14ac:dyDescent="0.25">
      <c r="F200" s="233"/>
    </row>
    <row r="201" spans="1:10" x14ac:dyDescent="0.25">
      <c r="F201" s="233"/>
    </row>
    <row r="202" spans="1:10" x14ac:dyDescent="0.25">
      <c r="E202" s="115"/>
      <c r="F202" s="235"/>
    </row>
    <row r="204" spans="1:10" x14ac:dyDescent="0.25">
      <c r="F204" s="233"/>
    </row>
    <row r="206" spans="1:10" x14ac:dyDescent="0.25">
      <c r="F206" s="233"/>
    </row>
    <row r="207" spans="1:10" x14ac:dyDescent="0.25">
      <c r="F207" s="233"/>
    </row>
  </sheetData>
  <mergeCells count="3">
    <mergeCell ref="A1:G1"/>
    <mergeCell ref="A2:G2"/>
    <mergeCell ref="M16:N16"/>
  </mergeCells>
  <conditionalFormatting sqref="I19:I167">
    <cfRule type="cellIs" dxfId="3" priority="5" operator="lessThan">
      <formula>0</formula>
    </cfRule>
  </conditionalFormatting>
  <conditionalFormatting sqref="P19:P20 P165:P167 P146:P148 P150 P154:P157 P159:P162 P139:P142 P108:P109 P113:P117 P119:P121 P125:P136 P85 P87 P91:P106 P76 P78 P82:P83 P23 P25:P26 P28 P32:P37 P41:P47 P49:P53 P58:P59 P55:P56 P63:P64 P68:P69 P66 P73:P74">
    <cfRule type="cellIs" dxfId="2" priority="1" operator="lessThan">
      <formula>0.9999</formula>
    </cfRule>
    <cfRule type="cellIs" dxfId="1" priority="2" operator="greaterThan">
      <formula>0.9999</formula>
    </cfRule>
    <cfRule type="cellIs" dxfId="0" priority="3" operator="greaterThan">
      <formula>99.99</formula>
    </cfRule>
  </conditionalFormatting>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&amp;R&amp;9&amp;KFF0000GA. NILANDHOO
&amp;K01+000 Waste Management Centre BOQ</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Sheet2</vt:lpstr>
      <vt:lpstr>Sheet3</vt:lpstr>
      <vt:lpstr>LD</vt:lpstr>
      <vt:lpstr>CW at TR</vt:lpstr>
      <vt:lpstr>'CW at TR'!Print_Titles</vt:lpstr>
      <vt:lpstr>LD!Print_Titles</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Zihan Zuhair</cp:lastModifiedBy>
  <cp:lastPrinted>2015-02-19T11:27:46Z</cp:lastPrinted>
  <dcterms:created xsi:type="dcterms:W3CDTF">2013-06-30T08:40:01Z</dcterms:created>
  <dcterms:modified xsi:type="dcterms:W3CDTF">2019-10-08T07:58:13Z</dcterms:modified>
</cp:coreProperties>
</file>